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ow-Head Dams\"/>
    </mc:Choice>
  </mc:AlternateContent>
  <xr:revisionPtr revIDLastSave="0" documentId="13_ncr:1_{A773B99E-7E9E-480E-8F73-3DECDAED9FEE}" xr6:coauthVersionLast="47" xr6:coauthVersionMax="47" xr10:uidLastSave="{00000000-0000-0000-0000-000000000000}"/>
  <bookViews>
    <workbookView xWindow="-120" yWindow="-120" windowWidth="29040" windowHeight="17640" activeTab="1" xr2:uid="{8CEEDAFA-B65A-4FF9-AF29-E6FFEEFD54C4}"/>
  </bookViews>
  <sheets>
    <sheet name="Sheet1" sheetId="1" r:id="rId1"/>
    <sheet name="Diagrams" sheetId="3" r:id="rId2"/>
    <sheet name="NOTES" sheetId="2" r:id="rId3"/>
  </sheets>
  <definedNames>
    <definedName name="gravity">Sheet1!$R$3</definedName>
    <definedName name="Length_Factor">Sheet1!$R$2</definedName>
    <definedName name="Manning_k">Sheet1!$R$4</definedName>
    <definedName name="Z_F4B6E51E_2D65_4CF6_BD8E_E088EDE2BD3E_.wvu.Rows" localSheetId="0" hidden="1">Sheet1!$2:$12</definedName>
    <definedName name="Z_FDA33643_0E3A_4707_8097_165E77532680_.wvu.Cols" localSheetId="0" hidden="1">Sheet1!$C:$N</definedName>
    <definedName name="Z_FDA33643_0E3A_4707_8097_165E77532680_.wvu.Rows" localSheetId="0" hidden="1">Sheet1!$2:$12</definedName>
  </definedNames>
  <calcPr calcId="191029" iterate="1"/>
  <customWorkbookViews>
    <customWorkbookView name="Hidden explanations" guid="{F4B6E51E-2D65-4CF6-BD8E-E088EDE2BD3E}" maximized="1" xWindow="-8" yWindow="-8" windowWidth="1936" windowHeight="1176" activeSheetId="1"/>
    <customWorkbookView name="Hidden explanations and inputs" guid="{FDA33643-0E3A-4707-8097-165E77532680}" maximized="1" xWindow="-8" yWindow="-8" windowWidth="1936" windowHeight="1176" activeSheetId="1"/>
    <customWorkbookView name="Nothing hidden" guid="{C438E414-3177-45D7-A55E-D1C2D38F7F61}" maximized="1" xWindow="-8" yWindow="-8" windowWidth="1936" windowHeight="117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3" i="1" l="1"/>
  <c r="O32" i="1"/>
  <c r="O31" i="1"/>
  <c r="O30" i="1"/>
  <c r="O29" i="1"/>
  <c r="O28" i="1"/>
  <c r="O27" i="1"/>
  <c r="O26" i="1"/>
  <c r="O25" i="1"/>
  <c r="O24" i="1"/>
  <c r="O23" i="1"/>
  <c r="O35" i="1"/>
  <c r="X3" i="1"/>
  <c r="B26" i="1"/>
  <c r="B28" i="1" l="1"/>
  <c r="B29" i="1" l="1"/>
  <c r="B30" i="1" s="1"/>
  <c r="B31" i="1" l="1"/>
  <c r="B32" i="1" s="1"/>
  <c r="J16" i="1"/>
  <c r="F15" i="1"/>
  <c r="F14" i="1"/>
  <c r="Y3" i="1"/>
  <c r="AB2" i="1"/>
  <c r="R2" i="1"/>
  <c r="R3" i="1" s="1"/>
  <c r="B33" i="1" l="1"/>
  <c r="B34" i="1" s="1"/>
  <c r="G16" i="1"/>
  <c r="AB3" i="1"/>
  <c r="Q21" i="1"/>
  <c r="U21" i="1"/>
  <c r="N21" i="1"/>
  <c r="O21" i="1"/>
  <c r="B21" i="1"/>
  <c r="Z3" i="1"/>
  <c r="G14" i="1"/>
  <c r="G15" i="1"/>
  <c r="K16" i="1"/>
  <c r="C21" i="1"/>
  <c r="D21" i="1"/>
  <c r="J21" i="1"/>
  <c r="R4" i="1"/>
  <c r="O22" i="1" l="1"/>
  <c r="B36" i="1"/>
  <c r="B37" i="1" s="1"/>
  <c r="O34" i="1"/>
  <c r="O38" i="1"/>
  <c r="AB4" i="1"/>
  <c r="T21" i="1"/>
  <c r="K21" i="1"/>
  <c r="O36" i="1" l="1"/>
  <c r="O37" i="1" l="1"/>
  <c r="O39" i="1" l="1"/>
  <c r="C22" i="1" l="1"/>
  <c r="D22" i="1"/>
  <c r="E22" i="1"/>
  <c r="F22" i="1"/>
  <c r="G22" i="1"/>
  <c r="H22" i="1"/>
  <c r="I22" i="1"/>
  <c r="J22" i="1"/>
  <c r="K22" i="1"/>
  <c r="L22" i="1"/>
  <c r="M22" i="1"/>
  <c r="N22" i="1"/>
  <c r="P22" i="1"/>
  <c r="Q22" i="1"/>
  <c r="R22" i="1"/>
  <c r="S22" i="1"/>
  <c r="T22" i="1"/>
  <c r="U22" i="1"/>
  <c r="C23" i="1"/>
  <c r="D23" i="1"/>
  <c r="E23" i="1"/>
  <c r="F23" i="1"/>
  <c r="G23" i="1"/>
  <c r="H23" i="1"/>
  <c r="I23" i="1"/>
  <c r="J23" i="1"/>
  <c r="K23" i="1"/>
  <c r="L23" i="1"/>
  <c r="M23" i="1"/>
  <c r="N23" i="1"/>
  <c r="P23" i="1"/>
  <c r="Q23" i="1"/>
  <c r="R23" i="1"/>
  <c r="S23" i="1"/>
  <c r="T23" i="1"/>
  <c r="U23" i="1"/>
  <c r="C24" i="1"/>
  <c r="D24" i="1"/>
  <c r="E24" i="1"/>
  <c r="F24" i="1"/>
  <c r="G24" i="1"/>
  <c r="H24" i="1"/>
  <c r="I24" i="1"/>
  <c r="J24" i="1"/>
  <c r="K24" i="1"/>
  <c r="L24" i="1"/>
  <c r="M24" i="1"/>
  <c r="N24" i="1"/>
  <c r="P24" i="1"/>
  <c r="Q24" i="1"/>
  <c r="R24" i="1"/>
  <c r="S24" i="1"/>
  <c r="T24" i="1"/>
  <c r="U24" i="1"/>
  <c r="C25" i="1"/>
  <c r="D25" i="1"/>
  <c r="E25" i="1"/>
  <c r="F25" i="1"/>
  <c r="G25" i="1"/>
  <c r="H25" i="1"/>
  <c r="I25" i="1"/>
  <c r="J25" i="1"/>
  <c r="K25" i="1"/>
  <c r="L25" i="1"/>
  <c r="M25" i="1"/>
  <c r="N25" i="1"/>
  <c r="P25" i="1"/>
  <c r="Q25" i="1"/>
  <c r="R25" i="1"/>
  <c r="S25" i="1"/>
  <c r="T25" i="1"/>
  <c r="U25" i="1"/>
  <c r="C26" i="1"/>
  <c r="D26" i="1"/>
  <c r="E26" i="1"/>
  <c r="F26" i="1"/>
  <c r="G26" i="1"/>
  <c r="H26" i="1"/>
  <c r="I26" i="1"/>
  <c r="J26" i="1"/>
  <c r="K26" i="1"/>
  <c r="L26" i="1"/>
  <c r="M26" i="1"/>
  <c r="N26" i="1"/>
  <c r="P26" i="1"/>
  <c r="Q26" i="1"/>
  <c r="R26" i="1"/>
  <c r="S26" i="1"/>
  <c r="T26" i="1"/>
  <c r="U26" i="1"/>
  <c r="C27" i="1"/>
  <c r="D27" i="1"/>
  <c r="E27" i="1"/>
  <c r="F27" i="1"/>
  <c r="G27" i="1"/>
  <c r="H27" i="1"/>
  <c r="I27" i="1"/>
  <c r="J27" i="1"/>
  <c r="K27" i="1"/>
  <c r="L27" i="1"/>
  <c r="M27" i="1"/>
  <c r="N27" i="1"/>
  <c r="P27" i="1"/>
  <c r="Q27" i="1"/>
  <c r="R27" i="1"/>
  <c r="S27" i="1"/>
  <c r="T27" i="1"/>
  <c r="U27" i="1"/>
  <c r="C28" i="1"/>
  <c r="D28" i="1"/>
  <c r="E28" i="1"/>
  <c r="F28" i="1"/>
  <c r="G28" i="1"/>
  <c r="H28" i="1"/>
  <c r="I28" i="1"/>
  <c r="J28" i="1"/>
  <c r="K28" i="1"/>
  <c r="L28" i="1"/>
  <c r="M28" i="1"/>
  <c r="N28" i="1"/>
  <c r="P28" i="1"/>
  <c r="Q28" i="1"/>
  <c r="R28" i="1"/>
  <c r="S28" i="1"/>
  <c r="T28" i="1"/>
  <c r="U28" i="1"/>
  <c r="C29" i="1"/>
  <c r="D29" i="1"/>
  <c r="E29" i="1"/>
  <c r="F29" i="1"/>
  <c r="G29" i="1"/>
  <c r="H29" i="1"/>
  <c r="I29" i="1"/>
  <c r="J29" i="1"/>
  <c r="K29" i="1"/>
  <c r="L29" i="1"/>
  <c r="M29" i="1"/>
  <c r="N29" i="1"/>
  <c r="P29" i="1"/>
  <c r="Q29" i="1"/>
  <c r="R29" i="1"/>
  <c r="S29" i="1"/>
  <c r="T29" i="1"/>
  <c r="U29" i="1"/>
  <c r="C30" i="1"/>
  <c r="D30" i="1"/>
  <c r="E30" i="1"/>
  <c r="F30" i="1"/>
  <c r="G30" i="1"/>
  <c r="H30" i="1"/>
  <c r="I30" i="1"/>
  <c r="J30" i="1"/>
  <c r="K30" i="1"/>
  <c r="L30" i="1"/>
  <c r="M30" i="1"/>
  <c r="N30" i="1"/>
  <c r="P30" i="1"/>
  <c r="Q30" i="1"/>
  <c r="R30" i="1"/>
  <c r="S30" i="1"/>
  <c r="T30" i="1"/>
  <c r="U30" i="1"/>
  <c r="C31" i="1"/>
  <c r="D31" i="1"/>
  <c r="E31" i="1"/>
  <c r="F31" i="1"/>
  <c r="G31" i="1"/>
  <c r="H31" i="1"/>
  <c r="I31" i="1"/>
  <c r="J31" i="1"/>
  <c r="K31" i="1"/>
  <c r="L31" i="1"/>
  <c r="M31" i="1"/>
  <c r="N31" i="1"/>
  <c r="P31" i="1"/>
  <c r="Q31" i="1"/>
  <c r="R31" i="1"/>
  <c r="S31" i="1"/>
  <c r="T31" i="1"/>
  <c r="U31" i="1"/>
  <c r="C32" i="1"/>
  <c r="D32" i="1"/>
  <c r="E32" i="1"/>
  <c r="F32" i="1"/>
  <c r="G32" i="1"/>
  <c r="H32" i="1"/>
  <c r="I32" i="1"/>
  <c r="J32" i="1"/>
  <c r="K32" i="1"/>
  <c r="L32" i="1"/>
  <c r="M32" i="1"/>
  <c r="N32" i="1"/>
  <c r="P32" i="1"/>
  <c r="Q32" i="1"/>
  <c r="R32" i="1"/>
  <c r="S32" i="1"/>
  <c r="T32" i="1"/>
  <c r="U32" i="1"/>
  <c r="C33" i="1"/>
  <c r="D33" i="1"/>
  <c r="E33" i="1"/>
  <c r="F33" i="1"/>
  <c r="G33" i="1"/>
  <c r="H33" i="1"/>
  <c r="I33" i="1"/>
  <c r="J33" i="1"/>
  <c r="K33" i="1"/>
  <c r="L33" i="1"/>
  <c r="M33" i="1"/>
  <c r="N33" i="1"/>
  <c r="P33" i="1"/>
  <c r="Q33" i="1"/>
  <c r="R33" i="1"/>
  <c r="S33" i="1"/>
  <c r="T33" i="1"/>
  <c r="U33" i="1"/>
  <c r="C34" i="1"/>
  <c r="D34" i="1"/>
  <c r="E34" i="1"/>
  <c r="F34" i="1"/>
  <c r="G34" i="1"/>
  <c r="H34" i="1"/>
  <c r="I34" i="1"/>
  <c r="J34" i="1"/>
  <c r="K34" i="1"/>
  <c r="L34" i="1"/>
  <c r="M34" i="1"/>
  <c r="N34" i="1"/>
  <c r="P34" i="1"/>
  <c r="Q34" i="1"/>
  <c r="R34" i="1"/>
  <c r="S34" i="1"/>
  <c r="T34" i="1"/>
  <c r="U34" i="1"/>
  <c r="C35" i="1"/>
  <c r="D35" i="1"/>
  <c r="E35" i="1"/>
  <c r="F35" i="1"/>
  <c r="G35" i="1"/>
  <c r="H35" i="1"/>
  <c r="I35" i="1"/>
  <c r="J35" i="1"/>
  <c r="K35" i="1"/>
  <c r="L35" i="1"/>
  <c r="M35" i="1"/>
  <c r="N35" i="1"/>
  <c r="P35" i="1"/>
  <c r="Q35" i="1"/>
  <c r="R35" i="1"/>
  <c r="S35" i="1"/>
  <c r="T35" i="1"/>
  <c r="U35" i="1"/>
  <c r="C36" i="1"/>
  <c r="D36" i="1"/>
  <c r="E36" i="1"/>
  <c r="F36" i="1"/>
  <c r="G36" i="1"/>
  <c r="H36" i="1"/>
  <c r="I36" i="1"/>
  <c r="J36" i="1"/>
  <c r="K36" i="1"/>
  <c r="L36" i="1"/>
  <c r="M36" i="1"/>
  <c r="N36" i="1"/>
  <c r="P36" i="1"/>
  <c r="Q36" i="1"/>
  <c r="R36" i="1"/>
  <c r="S36" i="1"/>
  <c r="T36" i="1"/>
  <c r="U36" i="1"/>
  <c r="C37" i="1"/>
  <c r="D37" i="1"/>
  <c r="E37" i="1"/>
  <c r="F37" i="1"/>
  <c r="G37" i="1"/>
  <c r="H37" i="1"/>
  <c r="I37" i="1"/>
  <c r="J37" i="1"/>
  <c r="K37" i="1"/>
  <c r="L37" i="1"/>
  <c r="M37" i="1"/>
  <c r="N37" i="1"/>
  <c r="P37" i="1"/>
  <c r="Q37" i="1"/>
  <c r="R37" i="1"/>
  <c r="S37" i="1"/>
  <c r="T37" i="1"/>
  <c r="U37" i="1"/>
  <c r="C38" i="1"/>
  <c r="D38" i="1"/>
  <c r="E38" i="1"/>
  <c r="F38" i="1"/>
  <c r="G38" i="1"/>
  <c r="H38" i="1"/>
  <c r="I38" i="1"/>
  <c r="J38" i="1"/>
  <c r="K38" i="1"/>
  <c r="L38" i="1"/>
  <c r="M38" i="1"/>
  <c r="N38" i="1"/>
  <c r="P38" i="1"/>
  <c r="Q38" i="1"/>
  <c r="R38" i="1"/>
  <c r="S38" i="1"/>
  <c r="T38" i="1"/>
  <c r="U38" i="1"/>
  <c r="C39" i="1"/>
  <c r="D39" i="1"/>
  <c r="E39" i="1"/>
  <c r="F39" i="1"/>
  <c r="G39" i="1"/>
  <c r="H39" i="1"/>
  <c r="I39" i="1"/>
  <c r="J39" i="1"/>
  <c r="K39" i="1"/>
  <c r="L39" i="1"/>
  <c r="M39" i="1"/>
  <c r="N39" i="1"/>
  <c r="P39" i="1"/>
  <c r="Q39" i="1"/>
  <c r="R39" i="1"/>
  <c r="S39" i="1"/>
  <c r="T39" i="1"/>
  <c r="U39" i="1"/>
</calcChain>
</file>

<file path=xl/sharedStrings.xml><?xml version="1.0" encoding="utf-8"?>
<sst xmlns="http://schemas.openxmlformats.org/spreadsheetml/2006/main" count="87" uniqueCount="79">
  <si>
    <t>Overtopping Head</t>
  </si>
  <si>
    <t>H</t>
  </si>
  <si>
    <t>Q</t>
  </si>
  <si>
    <t>Total Head</t>
  </si>
  <si>
    <t>H+P</t>
  </si>
  <si>
    <t>Discharge</t>
  </si>
  <si>
    <t>H/(H+P)</t>
  </si>
  <si>
    <t>Hydraulic Calculations</t>
  </si>
  <si>
    <t>-</t>
  </si>
  <si>
    <t>Froude Number</t>
  </si>
  <si>
    <t>a</t>
  </si>
  <si>
    <t>Toe Velocity</t>
  </si>
  <si>
    <t>Toe Depth Ratio</t>
  </si>
  <si>
    <t>Overtopping Fraction</t>
  </si>
  <si>
    <t>"Keeper" Velocity</t>
  </si>
  <si>
    <t>Flip Tailwater</t>
  </si>
  <si>
    <t>Toe Depth</t>
  </si>
  <si>
    <t>Conjugate Depth Ratio</t>
  </si>
  <si>
    <t>Conjugate Depth</t>
  </si>
  <si>
    <r>
      <t>(Eqn. 1) Y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/H</t>
    </r>
  </si>
  <si>
    <t>(Eqn. 10) Jump Submergence</t>
  </si>
  <si>
    <t>(Eqn. 15) Surface Recirculation Ratio</t>
  </si>
  <si>
    <t>Equations based on Leutheusser &amp; Fan's "Backward Flow Velocities of Submerged Hydraulic Jumps" (Journal of Hydraulic Engineering, Volume 127, No. 6, June 2001)</t>
  </si>
  <si>
    <t>Flow Information</t>
  </si>
  <si>
    <t>Submerged Hydraulic Jump</t>
  </si>
  <si>
    <t>Orange cells are input by user</t>
  </si>
  <si>
    <t>Notes:</t>
  </si>
  <si>
    <t>Turn on "iterative calculation" since several cells use circular references</t>
  </si>
  <si>
    <t>Red cells indicate potentially dangerous flow conditions</t>
  </si>
  <si>
    <t>Maximum human swimming velocity 2 m/s (6.6 ft/s) and average human swimming velocity 2 mph (2.9 ft/s)</t>
  </si>
  <si>
    <t>SITE:</t>
  </si>
  <si>
    <t>Dock Street Dam, Harrisburg, PA</t>
  </si>
  <si>
    <t>UNITS</t>
  </si>
  <si>
    <r>
      <rPr>
        <i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 =</t>
    </r>
  </si>
  <si>
    <r>
      <t>ft/s</t>
    </r>
    <r>
      <rPr>
        <b/>
        <vertAlign val="superscript"/>
        <sz val="14"/>
        <color theme="1"/>
        <rFont val="Calibri"/>
        <family val="2"/>
        <scheme val="minor"/>
      </rPr>
      <t>2</t>
    </r>
  </si>
  <si>
    <t>Manning k</t>
  </si>
  <si>
    <t>Length factor</t>
  </si>
  <si>
    <t>V</t>
  </si>
  <si>
    <t>Unit labels</t>
  </si>
  <si>
    <t>Graph Labels</t>
  </si>
  <si>
    <r>
      <t>Y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is the optimal tailwater depth to cause jump at toe of structure.</t>
    </r>
  </si>
  <si>
    <r>
      <t>Y</t>
    </r>
    <r>
      <rPr>
        <vertAlign val="subscript"/>
        <sz val="11"/>
        <color theme="1"/>
        <rFont val="Calibri"/>
        <family val="2"/>
        <scheme val="minor"/>
      </rPr>
      <t>normal</t>
    </r>
    <r>
      <rPr>
        <sz val="11"/>
        <color theme="1"/>
        <rFont val="Calibri"/>
        <family val="2"/>
        <scheme val="minor"/>
      </rPr>
      <t xml:space="preserve"> is the tailwater depth created by "normal depth" flow conditions (Manning's equation)</t>
    </r>
  </si>
  <si>
    <t>Tailwater Conditions
(Normal Depth)</t>
  </si>
  <si>
    <r>
      <t>Y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is the actual tailwater depth.  When Y</t>
    </r>
    <r>
      <rPr>
        <vertAlign val="subscript"/>
        <sz val="11"/>
        <color theme="1"/>
        <rFont val="Calibri"/>
        <family val="2"/>
        <scheme val="minor"/>
      </rPr>
      <t xml:space="preserve">T </t>
    </r>
    <r>
      <rPr>
        <sz val="11"/>
        <color theme="1"/>
        <rFont val="Calibri"/>
        <family val="2"/>
        <scheme val="minor"/>
      </rPr>
      <t>= Y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jump is optimal.</t>
    </r>
  </si>
  <si>
    <t>Variables.  Optimal jump is illustrated.</t>
  </si>
  <si>
    <t>Curve Fitting Parameter to use in Eq. 15</t>
  </si>
  <si>
    <t>Submerged Hydraulic Jumps at Low-Head Dams</t>
  </si>
  <si>
    <t>Tony Wahl (twahl@usbr.gov), 303-445-2155, Bureau of Reclamation Hydraulics Laboratory, Denver, Colorado.</t>
  </si>
  <si>
    <t>Contact points:</t>
  </si>
  <si>
    <t>Connie Svoboda (csvoboda@usbr.gov), 303-445-2152, Bureau of Reclamation Hydraulics Laboratory, Denver, Colorado.</t>
  </si>
  <si>
    <t>Specific Leutheusser and Fan (2001) equation or page numbers are listed in column headings</t>
  </si>
  <si>
    <t>Ideal (Optimum) Jump Calculations</t>
  </si>
  <si>
    <t>If tailwater channel is level with toe of structure…</t>
  </si>
  <si>
    <r>
      <t xml:space="preserve">Tailwater Channel Height, </t>
    </r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 (+ above toe, - below toe)</t>
    </r>
  </si>
  <si>
    <r>
      <t xml:space="preserve">Structural Height of Dam Above Toe Apron, </t>
    </r>
    <r>
      <rPr>
        <i/>
        <sz val="11"/>
        <color theme="1"/>
        <rFont val="Calibri"/>
        <family val="2"/>
        <scheme val="minor"/>
      </rPr>
      <t>P</t>
    </r>
  </si>
  <si>
    <r>
      <t xml:space="preserve">Manning's </t>
    </r>
    <r>
      <rPr>
        <i/>
        <sz val="11"/>
        <color theme="1"/>
        <rFont val="Calibri"/>
        <family val="2"/>
        <scheme val="minor"/>
      </rPr>
      <t>n</t>
    </r>
  </si>
  <si>
    <r>
      <t xml:space="preserve">Channel Width, </t>
    </r>
    <r>
      <rPr>
        <i/>
        <sz val="11"/>
        <color theme="1"/>
        <rFont val="Calibri"/>
        <family val="2"/>
        <scheme val="minor"/>
      </rPr>
      <t>b</t>
    </r>
  </si>
  <si>
    <r>
      <t xml:space="preserve">Bed Slope, </t>
    </r>
    <r>
      <rPr>
        <i/>
        <sz val="11"/>
        <color theme="1"/>
        <rFont val="Calibri"/>
        <family val="2"/>
        <scheme val="minor"/>
      </rPr>
      <t>S</t>
    </r>
    <r>
      <rPr>
        <i/>
        <vertAlign val="subscript"/>
        <sz val="11"/>
        <color theme="1"/>
        <rFont val="Calibri"/>
        <family val="2"/>
        <scheme val="minor"/>
      </rPr>
      <t>o</t>
    </r>
  </si>
  <si>
    <r>
      <t xml:space="preserve">Weir Length, </t>
    </r>
    <r>
      <rPr>
        <i/>
        <sz val="11"/>
        <color theme="1"/>
        <rFont val="Calibri"/>
        <family val="2"/>
        <scheme val="minor"/>
      </rPr>
      <t>L</t>
    </r>
  </si>
  <si>
    <t>(Eqn. 13) Head Loss in "Keeper"</t>
  </si>
  <si>
    <t>Ogee Crest</t>
  </si>
  <si>
    <t>Metric</t>
  </si>
  <si>
    <t>Crest Shape</t>
  </si>
  <si>
    <t>Actual Tailwater Depth (above toe of dam)</t>
  </si>
  <si>
    <r>
      <t>If tailwater channel is elevated or depressed relative to the structure toe…Y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 xml:space="preserve"> is downstream depth, which will come from Manning equation</t>
    </r>
  </si>
  <si>
    <r>
      <t>Y</t>
    </r>
    <r>
      <rPr>
        <vertAlign val="subscript"/>
        <sz val="14"/>
        <color theme="1"/>
        <rFont val="Calibri"/>
        <family val="2"/>
        <scheme val="minor"/>
      </rPr>
      <t>T</t>
    </r>
    <r>
      <rPr>
        <sz val="14"/>
        <color theme="1"/>
        <rFont val="Calibri"/>
        <family val="2"/>
        <scheme val="minor"/>
      </rPr>
      <t xml:space="preserve"> = Y</t>
    </r>
    <r>
      <rPr>
        <vertAlign val="subscript"/>
        <sz val="14"/>
        <color theme="1"/>
        <rFont val="Calibri"/>
        <family val="2"/>
        <scheme val="minor"/>
      </rPr>
      <t>d</t>
    </r>
    <r>
      <rPr>
        <sz val="14"/>
        <color theme="1"/>
        <rFont val="Calibri"/>
        <family val="2"/>
        <scheme val="minor"/>
      </rPr>
      <t xml:space="preserve"> + </t>
    </r>
    <r>
      <rPr>
        <sz val="14"/>
        <color theme="1"/>
        <rFont val="Symbol"/>
        <family val="1"/>
        <charset val="2"/>
      </rPr>
      <t>D</t>
    </r>
    <r>
      <rPr>
        <sz val="14"/>
        <color theme="1"/>
        <rFont val="Calibri"/>
        <family val="2"/>
        <scheme val="minor"/>
      </rPr>
      <t>Z</t>
    </r>
  </si>
  <si>
    <r>
      <t>Y</t>
    </r>
    <r>
      <rPr>
        <vertAlign val="subscript"/>
        <sz val="14"/>
        <color theme="1"/>
        <rFont val="Calibri"/>
        <family val="2"/>
        <scheme val="minor"/>
      </rPr>
      <t>2</t>
    </r>
  </si>
  <si>
    <r>
      <t>Y</t>
    </r>
    <r>
      <rPr>
        <vertAlign val="subscript"/>
        <sz val="14"/>
        <color theme="1"/>
        <rFont val="Calibri"/>
        <family val="2"/>
        <scheme val="minor"/>
      </rPr>
      <t>1</t>
    </r>
  </si>
  <si>
    <r>
      <t>V</t>
    </r>
    <r>
      <rPr>
        <vertAlign val="subscript"/>
        <sz val="14"/>
        <color theme="1"/>
        <rFont val="Calibri"/>
        <family val="2"/>
        <scheme val="minor"/>
      </rPr>
      <t>1</t>
    </r>
  </si>
  <si>
    <r>
      <t>F</t>
    </r>
    <r>
      <rPr>
        <vertAlign val="subscript"/>
        <sz val="14"/>
        <color theme="1"/>
        <rFont val="Calibri"/>
        <family val="2"/>
        <scheme val="minor"/>
      </rPr>
      <t>1</t>
    </r>
  </si>
  <si>
    <r>
      <t>(Eqn. 7) Y</t>
    </r>
    <r>
      <rPr>
        <vertAlign val="sub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/H</t>
    </r>
  </si>
  <si>
    <r>
      <t>(Eqn. 4) C</t>
    </r>
    <r>
      <rPr>
        <vertAlign val="subscript"/>
        <sz val="12"/>
        <color theme="1"/>
        <rFont val="Calibri"/>
        <family val="2"/>
        <scheme val="minor"/>
      </rPr>
      <t>weir</t>
    </r>
  </si>
  <si>
    <r>
      <t>(Eqn. 3) C</t>
    </r>
    <r>
      <rPr>
        <vertAlign val="subscript"/>
        <sz val="12"/>
        <rFont val="Calibri"/>
        <family val="2"/>
        <scheme val="minor"/>
      </rPr>
      <t>d</t>
    </r>
  </si>
  <si>
    <r>
      <t xml:space="preserve"> (pg. 514) C</t>
    </r>
    <r>
      <rPr>
        <vertAlign val="subscript"/>
        <sz val="12"/>
        <color theme="1"/>
        <rFont val="Calibri"/>
        <family val="2"/>
        <scheme val="minor"/>
      </rPr>
      <t>loss</t>
    </r>
  </si>
  <si>
    <r>
      <t>S = (Y</t>
    </r>
    <r>
      <rPr>
        <vertAlign val="subscript"/>
        <sz val="12"/>
        <color theme="1"/>
        <rFont val="Calibri"/>
        <family val="2"/>
        <scheme val="minor"/>
      </rPr>
      <t>T-</t>
    </r>
    <r>
      <rPr>
        <sz val="12"/>
        <color theme="1"/>
        <rFont val="Calibri"/>
        <family val="2"/>
        <scheme val="minor"/>
      </rPr>
      <t>Y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)/Y</t>
    </r>
    <r>
      <rPr>
        <vertAlign val="subscript"/>
        <sz val="12"/>
        <color theme="1"/>
        <rFont val="Calibri"/>
        <family val="2"/>
        <scheme val="minor"/>
      </rPr>
      <t>2</t>
    </r>
  </si>
  <si>
    <r>
      <rPr>
        <sz val="14"/>
        <color theme="1"/>
        <rFont val="Symbol"/>
        <family val="1"/>
        <charset val="2"/>
      </rPr>
      <t>D</t>
    </r>
    <r>
      <rPr>
        <sz val="14"/>
        <color theme="1"/>
        <rFont val="Calibri"/>
        <family val="2"/>
        <scheme val="minor"/>
      </rPr>
      <t>E</t>
    </r>
    <r>
      <rPr>
        <vertAlign val="subscript"/>
        <sz val="14"/>
        <color theme="1"/>
        <rFont val="Calibri"/>
        <family val="2"/>
        <scheme val="minor"/>
      </rPr>
      <t>DM</t>
    </r>
  </si>
  <si>
    <r>
      <t>V</t>
    </r>
    <r>
      <rPr>
        <vertAlign val="subscript"/>
        <sz val="14"/>
        <rFont val="Calibri"/>
        <family val="2"/>
        <scheme val="minor"/>
      </rPr>
      <t>s</t>
    </r>
    <r>
      <rPr>
        <sz val="14"/>
        <rFont val="Calibri"/>
        <family val="2"/>
        <scheme val="minor"/>
      </rPr>
      <t>/V</t>
    </r>
    <r>
      <rPr>
        <vertAlign val="subscript"/>
        <sz val="14"/>
        <rFont val="Calibri"/>
        <family val="2"/>
        <scheme val="minor"/>
      </rPr>
      <t>1</t>
    </r>
  </si>
  <si>
    <r>
      <t>V</t>
    </r>
    <r>
      <rPr>
        <vertAlign val="subscript"/>
        <sz val="14"/>
        <rFont val="Calibri"/>
        <family val="2"/>
        <scheme val="minor"/>
      </rPr>
      <t>s</t>
    </r>
  </si>
  <si>
    <r>
      <t>(pg. 515) Y</t>
    </r>
    <r>
      <rPr>
        <vertAlign val="subscript"/>
        <sz val="12"/>
        <color theme="1"/>
        <rFont val="Calibri"/>
        <family val="2"/>
        <scheme val="minor"/>
      </rPr>
      <t>flip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</si>
</sst>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9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Symbol"/>
      <family val="1"/>
      <charset val="2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u/>
      <sz val="14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sz val="14"/>
      <color theme="1"/>
      <name val="Symbol"/>
      <family val="1"/>
      <charset val="2"/>
    </font>
    <font>
      <sz val="12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14"/>
      <name val="Symbol"/>
      <family val="1"/>
      <charset val="2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1" applyNumberFormat="0" applyAlignment="0" applyProtection="0"/>
    <xf numFmtId="0" fontId="2" fillId="6" borderId="0" applyNumberFormat="0" applyBorder="0" applyAlignment="0" applyProtection="0"/>
  </cellStyleXfs>
  <cellXfs count="53">
    <xf numFmtId="0" fontId="0" fillId="0" borderId="0" xfId="0"/>
    <xf numFmtId="0" fontId="6" fillId="5" borderId="1" xfId="4"/>
    <xf numFmtId="0" fontId="0" fillId="0" borderId="0" xfId="0" applyAlignment="1">
      <alignment wrapText="1"/>
    </xf>
    <xf numFmtId="0" fontId="8" fillId="0" borderId="0" xfId="0" applyFont="1"/>
    <xf numFmtId="0" fontId="0" fillId="0" borderId="0" xfId="0" applyFill="1"/>
    <xf numFmtId="0" fontId="9" fillId="7" borderId="5" xfId="1" quotePrefix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quotePrefix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0" xfId="0" applyFont="1"/>
    <xf numFmtId="0" fontId="10" fillId="0" borderId="0" xfId="0" applyFont="1"/>
    <xf numFmtId="0" fontId="12" fillId="0" borderId="0" xfId="0" applyFont="1"/>
    <xf numFmtId="2" fontId="0" fillId="0" borderId="0" xfId="0" applyNumberFormat="1" applyFont="1" applyAlignment="1">
      <alignment horizontal="center" vertical="center"/>
    </xf>
    <xf numFmtId="0" fontId="11" fillId="0" borderId="0" xfId="0" quotePrefix="1" applyFont="1" applyAlignment="1">
      <alignment horizontal="left"/>
    </xf>
    <xf numFmtId="0" fontId="0" fillId="8" borderId="9" xfId="0" applyFill="1" applyBorder="1"/>
    <xf numFmtId="164" fontId="0" fillId="8" borderId="0" xfId="0" applyNumberFormat="1" applyFill="1" applyBorder="1"/>
    <xf numFmtId="0" fontId="12" fillId="8" borderId="10" xfId="0" applyFont="1" applyFill="1" applyBorder="1"/>
    <xf numFmtId="0" fontId="0" fillId="8" borderId="9" xfId="0" quotePrefix="1" applyFill="1" applyBorder="1" applyAlignment="1">
      <alignment horizontal="right"/>
    </xf>
    <xf numFmtId="2" fontId="0" fillId="8" borderId="0" xfId="0" applyNumberFormat="1" applyFill="1" applyBorder="1"/>
    <xf numFmtId="0" fontId="0" fillId="8" borderId="10" xfId="0" applyFill="1" applyBorder="1"/>
    <xf numFmtId="0" fontId="0" fillId="8" borderId="11" xfId="0" applyFill="1" applyBorder="1"/>
    <xf numFmtId="2" fontId="0" fillId="8" borderId="4" xfId="0" applyNumberFormat="1" applyFill="1" applyBorder="1"/>
    <xf numFmtId="0" fontId="10" fillId="8" borderId="12" xfId="0" applyFont="1" applyFill="1" applyBorder="1"/>
    <xf numFmtId="0" fontId="12" fillId="9" borderId="13" xfId="0" applyFont="1" applyFill="1" applyBorder="1"/>
    <xf numFmtId="0" fontId="12" fillId="9" borderId="14" xfId="0" applyFont="1" applyFill="1" applyBorder="1" applyAlignment="1">
      <alignment horizontal="right"/>
    </xf>
    <xf numFmtId="0" fontId="11" fillId="9" borderId="15" xfId="0" applyFont="1" applyFill="1" applyBorder="1"/>
    <xf numFmtId="0" fontId="11" fillId="0" borderId="4" xfId="0" applyFont="1" applyBorder="1"/>
    <xf numFmtId="0" fontId="16" fillId="0" borderId="0" xfId="0" applyFont="1"/>
    <xf numFmtId="0" fontId="15" fillId="0" borderId="0" xfId="0" quotePrefix="1" applyFont="1" applyAlignment="1">
      <alignment horizontal="left"/>
    </xf>
    <xf numFmtId="0" fontId="0" fillId="0" borderId="0" xfId="0" quotePrefix="1" applyAlignment="1">
      <alignment horizontal="left"/>
    </xf>
    <xf numFmtId="0" fontId="8" fillId="0" borderId="0" xfId="0" quotePrefix="1" applyFont="1" applyAlignment="1">
      <alignment horizontal="left"/>
    </xf>
    <xf numFmtId="0" fontId="17" fillId="0" borderId="0" xfId="0" quotePrefix="1" applyFont="1" applyAlignment="1">
      <alignment horizontal="right"/>
    </xf>
    <xf numFmtId="0" fontId="10" fillId="0" borderId="0" xfId="0" quotePrefix="1" applyFont="1" applyAlignment="1">
      <alignment horizontal="left"/>
    </xf>
    <xf numFmtId="1" fontId="6" fillId="5" borderId="2" xfId="4" applyNumberFormat="1" applyBorder="1" applyAlignment="1">
      <alignment horizontal="center" vertical="center"/>
    </xf>
    <xf numFmtId="0" fontId="6" fillId="5" borderId="1" xfId="4" applyAlignment="1"/>
    <xf numFmtId="0" fontId="0" fillId="0" borderId="0" xfId="0" quotePrefix="1" applyAlignment="1">
      <alignment horizontal="right"/>
    </xf>
    <xf numFmtId="0" fontId="20" fillId="0" borderId="3" xfId="0" quotePrefix="1" applyFont="1" applyBorder="1" applyAlignment="1">
      <alignment horizontal="center" vertical="center" wrapText="1"/>
    </xf>
    <xf numFmtId="0" fontId="8" fillId="0" borderId="3" xfId="0" quotePrefix="1" applyFont="1" applyBorder="1" applyAlignment="1">
      <alignment horizontal="center" vertical="center" wrapText="1"/>
    </xf>
    <xf numFmtId="0" fontId="24" fillId="0" borderId="3" xfId="0" quotePrefix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0" fontId="9" fillId="7" borderId="5" xfId="5" quotePrefix="1" applyFont="1" applyFill="1" applyBorder="1" applyAlignment="1">
      <alignment horizontal="center" vertical="center" wrapText="1"/>
    </xf>
    <xf numFmtId="0" fontId="9" fillId="7" borderId="6" xfId="2" applyFont="1" applyFill="1" applyBorder="1" applyAlignment="1">
      <alignment horizontal="center" vertical="center"/>
    </xf>
    <xf numFmtId="0" fontId="9" fillId="7" borderId="7" xfId="2" applyFont="1" applyFill="1" applyBorder="1" applyAlignment="1">
      <alignment horizontal="center" vertical="center"/>
    </xf>
    <xf numFmtId="0" fontId="9" fillId="7" borderId="8" xfId="2" applyFont="1" applyFill="1" applyBorder="1" applyAlignment="1">
      <alignment horizontal="center" vertical="center"/>
    </xf>
    <xf numFmtId="0" fontId="9" fillId="7" borderId="5" xfId="3" quotePrefix="1" applyFont="1" applyFill="1" applyBorder="1" applyAlignment="1">
      <alignment horizontal="center" vertical="center"/>
    </xf>
    <xf numFmtId="0" fontId="9" fillId="7" borderId="5" xfId="3" applyFont="1" applyFill="1" applyBorder="1" applyAlignment="1">
      <alignment horizontal="center" vertical="center"/>
    </xf>
    <xf numFmtId="0" fontId="9" fillId="7" borderId="5" xfId="5" applyFont="1" applyFill="1" applyBorder="1" applyAlignment="1">
      <alignment horizontal="center" vertical="center"/>
    </xf>
  </cellXfs>
  <cellStyles count="6">
    <cellStyle name="20% - Accent1" xfId="5" builtinId="30"/>
    <cellStyle name="Bad" xfId="2" builtinId="27"/>
    <cellStyle name="Good" xfId="1" builtinId="26"/>
    <cellStyle name="Input" xfId="4" builtinId="20"/>
    <cellStyle name="Neutral" xfId="3" builtinId="28"/>
    <cellStyle name="Normal" xfId="0" builtinId="0"/>
  </cellStyles>
  <dxfs count="10"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0"/>
          <c:tx>
            <c:v>Conjugate Depth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Sheet1!$B$22:$B$39</c:f>
              <c:numCache>
                <c:formatCode>0</c:formatCode>
                <c:ptCount val="18"/>
                <c:pt idx="0">
                  <c:v>6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141.58423296000001</c:v>
                </c:pt>
                <c:pt idx="5">
                  <c:v>250</c:v>
                </c:pt>
                <c:pt idx="6">
                  <c:v>391.58423296000001</c:v>
                </c:pt>
                <c:pt idx="7">
                  <c:v>533.16846592000002</c:v>
                </c:pt>
                <c:pt idx="8">
                  <c:v>674.75269888000003</c:v>
                </c:pt>
                <c:pt idx="9">
                  <c:v>816.33693184000003</c:v>
                </c:pt>
                <c:pt idx="10">
                  <c:v>957.92116480000004</c:v>
                </c:pt>
                <c:pt idx="11">
                  <c:v>1099.5053977600001</c:v>
                </c:pt>
                <c:pt idx="12">
                  <c:v>1241.0896307200001</c:v>
                </c:pt>
                <c:pt idx="13">
                  <c:v>1416</c:v>
                </c:pt>
                <c:pt idx="14">
                  <c:v>1557.58423296</c:v>
                </c:pt>
                <c:pt idx="15">
                  <c:v>1699.16846592</c:v>
                </c:pt>
                <c:pt idx="16">
                  <c:v>1700</c:v>
                </c:pt>
                <c:pt idx="17">
                  <c:v>1750</c:v>
                </c:pt>
              </c:numCache>
            </c:numRef>
          </c:xVal>
          <c:yVal>
            <c:numRef>
              <c:f>Sheet1!$N$22:$N$39</c:f>
              <c:numCache>
                <c:formatCode>0.00</c:formatCode>
                <c:ptCount val="18"/>
                <c:pt idx="0">
                  <c:v>8.3124674149431588E-2</c:v>
                </c:pt>
                <c:pt idx="1">
                  <c:v>0.15156509143659447</c:v>
                </c:pt>
                <c:pt idx="2">
                  <c:v>0.21417789907215748</c:v>
                </c:pt>
                <c:pt idx="3">
                  <c:v>0.30270101921286008</c:v>
                </c:pt>
                <c:pt idx="4">
                  <c:v>0.40259705244703109</c:v>
                </c:pt>
                <c:pt idx="5">
                  <c:v>0.53508765929848734</c:v>
                </c:pt>
                <c:pt idx="6">
                  <c:v>0.67010797113343712</c:v>
                </c:pt>
                <c:pt idx="7">
                  <c:v>0.78250866950215792</c:v>
                </c:pt>
                <c:pt idx="8">
                  <c:v>0.88096946216666805</c:v>
                </c:pt>
                <c:pt idx="9">
                  <c:v>0.96972323554434559</c:v>
                </c:pt>
                <c:pt idx="10">
                  <c:v>1.0512114117914493</c:v>
                </c:pt>
                <c:pt idx="11">
                  <c:v>1.1269937802414696</c:v>
                </c:pt>
                <c:pt idx="12">
                  <c:v>1.1981386308045767</c:v>
                </c:pt>
                <c:pt idx="13">
                  <c:v>1.2807543762196205</c:v>
                </c:pt>
                <c:pt idx="14">
                  <c:v>1.3440334684964808</c:v>
                </c:pt>
                <c:pt idx="15">
                  <c:v>1.4045556741736653</c:v>
                </c:pt>
                <c:pt idx="16">
                  <c:v>1.4049036761897982</c:v>
                </c:pt>
                <c:pt idx="17">
                  <c:v>1.4256779589318798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A07-4CED-AF22-7911E6436C9E}"/>
            </c:ext>
          </c:extLst>
        </c:ser>
        <c:ser>
          <c:idx val="0"/>
          <c:order val="1"/>
          <c:tx>
            <c:v>Tailwater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Sheet1!$B$22:$B$39</c:f>
              <c:numCache>
                <c:formatCode>0</c:formatCode>
                <c:ptCount val="18"/>
                <c:pt idx="0">
                  <c:v>6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141.58423296000001</c:v>
                </c:pt>
                <c:pt idx="5">
                  <c:v>250</c:v>
                </c:pt>
                <c:pt idx="6">
                  <c:v>391.58423296000001</c:v>
                </c:pt>
                <c:pt idx="7">
                  <c:v>533.16846592000002</c:v>
                </c:pt>
                <c:pt idx="8">
                  <c:v>674.75269888000003</c:v>
                </c:pt>
                <c:pt idx="9">
                  <c:v>816.33693184000003</c:v>
                </c:pt>
                <c:pt idx="10">
                  <c:v>957.92116480000004</c:v>
                </c:pt>
                <c:pt idx="11">
                  <c:v>1099.5053977600001</c:v>
                </c:pt>
                <c:pt idx="12">
                  <c:v>1241.0896307200001</c:v>
                </c:pt>
                <c:pt idx="13">
                  <c:v>1416</c:v>
                </c:pt>
                <c:pt idx="14">
                  <c:v>1557.58423296</c:v>
                </c:pt>
                <c:pt idx="15">
                  <c:v>1699.16846592</c:v>
                </c:pt>
                <c:pt idx="16">
                  <c:v>1700</c:v>
                </c:pt>
                <c:pt idx="17">
                  <c:v>1750</c:v>
                </c:pt>
              </c:numCache>
            </c:numRef>
          </c:xVal>
          <c:yVal>
            <c:numRef>
              <c:f>Sheet1!$O$22:$O$39</c:f>
              <c:numCache>
                <c:formatCode>0.00</c:formatCode>
                <c:ptCount val="18"/>
                <c:pt idx="0">
                  <c:v>0.25343166913266157</c:v>
                </c:pt>
                <c:pt idx="1">
                  <c:v>0.34181385384805729</c:v>
                </c:pt>
                <c:pt idx="2">
                  <c:v>0.4304211046334967</c:v>
                </c:pt>
                <c:pt idx="3">
                  <c:v>0.56472458256192881</c:v>
                </c:pt>
                <c:pt idx="4">
                  <c:v>0.72596713183912298</c:v>
                </c:pt>
                <c:pt idx="5">
                  <c:v>0.95199537974931958</c:v>
                </c:pt>
                <c:pt idx="6">
                  <c:v>1.1936118383177308</c:v>
                </c:pt>
                <c:pt idx="7">
                  <c:v>1.4018529137593296</c:v>
                </c:pt>
                <c:pt idx="8">
                  <c:v>1.5888188839130657</c:v>
                </c:pt>
                <c:pt idx="9">
                  <c:v>1.7606031889708718</c:v>
                </c:pt>
                <c:pt idx="10">
                  <c:v>1.920806068513297</c:v>
                </c:pt>
                <c:pt idx="11">
                  <c:v>2.071772667560086</c:v>
                </c:pt>
                <c:pt idx="12">
                  <c:v>2.2151354190632677</c:v>
                </c:pt>
                <c:pt idx="13">
                  <c:v>2.383492903401021</c:v>
                </c:pt>
                <c:pt idx="14">
                  <c:v>2.5137490406019571</c:v>
                </c:pt>
                <c:pt idx="15">
                  <c:v>2.6393465628558022</c:v>
                </c:pt>
                <c:pt idx="16">
                  <c:v>2.640071556852809</c:v>
                </c:pt>
                <c:pt idx="17">
                  <c:v>2.6834081045494056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07-4CED-AF22-7911E6436C9E}"/>
            </c:ext>
          </c:extLst>
        </c:ser>
        <c:ser>
          <c:idx val="1"/>
          <c:order val="2"/>
          <c:tx>
            <c:v>Flip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Sheet1!$B$22:$B$39</c:f>
              <c:numCache>
                <c:formatCode>0</c:formatCode>
                <c:ptCount val="18"/>
                <c:pt idx="0">
                  <c:v>6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141.58423296000001</c:v>
                </c:pt>
                <c:pt idx="5">
                  <c:v>250</c:v>
                </c:pt>
                <c:pt idx="6">
                  <c:v>391.58423296000001</c:v>
                </c:pt>
                <c:pt idx="7">
                  <c:v>533.16846592000002</c:v>
                </c:pt>
                <c:pt idx="8">
                  <c:v>674.75269888000003</c:v>
                </c:pt>
                <c:pt idx="9">
                  <c:v>816.33693184000003</c:v>
                </c:pt>
                <c:pt idx="10">
                  <c:v>957.92116480000004</c:v>
                </c:pt>
                <c:pt idx="11">
                  <c:v>1099.5053977600001</c:v>
                </c:pt>
                <c:pt idx="12">
                  <c:v>1241.0896307200001</c:v>
                </c:pt>
                <c:pt idx="13">
                  <c:v>1416</c:v>
                </c:pt>
                <c:pt idx="14">
                  <c:v>1557.58423296</c:v>
                </c:pt>
                <c:pt idx="15">
                  <c:v>1699.16846592</c:v>
                </c:pt>
                <c:pt idx="16">
                  <c:v>1700</c:v>
                </c:pt>
                <c:pt idx="17">
                  <c:v>1750</c:v>
                </c:pt>
              </c:numCache>
            </c:numRef>
          </c:xVal>
          <c:yVal>
            <c:numRef>
              <c:f>Sheet1!$U$22:$U$39</c:f>
              <c:numCache>
                <c:formatCode>0.00</c:formatCode>
                <c:ptCount val="18"/>
                <c:pt idx="0">
                  <c:v>1.6820778844631996</c:v>
                </c:pt>
                <c:pt idx="1">
                  <c:v>1.7060796196435721</c:v>
                </c:pt>
                <c:pt idx="2">
                  <c:v>1.7315653565400835</c:v>
                </c:pt>
                <c:pt idx="3">
                  <c:v>1.7718918810535185</c:v>
                </c:pt>
                <c:pt idx="4">
                  <c:v>1.8221422764204651</c:v>
                </c:pt>
                <c:pt idx="5">
                  <c:v>1.8948770786900175</c:v>
                </c:pt>
                <c:pt idx="6">
                  <c:v>1.9746924904709249</c:v>
                </c:pt>
                <c:pt idx="7">
                  <c:v>2.0447177682246203</c:v>
                </c:pt>
                <c:pt idx="8">
                  <c:v>2.1083315160239491</c:v>
                </c:pt>
                <c:pt idx="9">
                  <c:v>2.1672753769352289</c:v>
                </c:pt>
                <c:pt idx="10">
                  <c:v>2.2225970871955565</c:v>
                </c:pt>
                <c:pt idx="11">
                  <c:v>2.2749893256380864</c:v>
                </c:pt>
                <c:pt idx="12">
                  <c:v>2.3249404149356367</c:v>
                </c:pt>
                <c:pt idx="13">
                  <c:v>2.3838076856588675</c:v>
                </c:pt>
                <c:pt idx="14">
                  <c:v>2.4294827379197663</c:v>
                </c:pt>
                <c:pt idx="15">
                  <c:v>2.47361539390123</c:v>
                </c:pt>
                <c:pt idx="16">
                  <c:v>2.4738703776649968</c:v>
                </c:pt>
                <c:pt idx="17">
                  <c:v>2.4891165960289534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07-4CED-AF22-7911E6436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865663"/>
        <c:axId val="2022512703"/>
      </c:scatterChart>
      <c:scatterChart>
        <c:scatterStyle val="lineMarker"/>
        <c:varyColors val="0"/>
        <c:ser>
          <c:idx val="2"/>
          <c:order val="3"/>
          <c:tx>
            <c:v>Vs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Sheet1!$B$22:$B$39</c:f>
              <c:numCache>
                <c:formatCode>0</c:formatCode>
                <c:ptCount val="18"/>
                <c:pt idx="0">
                  <c:v>6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141.58423296000001</c:v>
                </c:pt>
                <c:pt idx="5">
                  <c:v>250</c:v>
                </c:pt>
                <c:pt idx="6">
                  <c:v>391.58423296000001</c:v>
                </c:pt>
                <c:pt idx="7">
                  <c:v>533.16846592000002</c:v>
                </c:pt>
                <c:pt idx="8">
                  <c:v>674.75269888000003</c:v>
                </c:pt>
                <c:pt idx="9">
                  <c:v>816.33693184000003</c:v>
                </c:pt>
                <c:pt idx="10">
                  <c:v>957.92116480000004</c:v>
                </c:pt>
                <c:pt idx="11">
                  <c:v>1099.5053977600001</c:v>
                </c:pt>
                <c:pt idx="12">
                  <c:v>1241.0896307200001</c:v>
                </c:pt>
                <c:pt idx="13">
                  <c:v>1416</c:v>
                </c:pt>
                <c:pt idx="14">
                  <c:v>1557.58423296</c:v>
                </c:pt>
                <c:pt idx="15">
                  <c:v>1699.16846592</c:v>
                </c:pt>
                <c:pt idx="16">
                  <c:v>1700</c:v>
                </c:pt>
                <c:pt idx="17">
                  <c:v>1750</c:v>
                </c:pt>
              </c:numCache>
            </c:numRef>
          </c:xVal>
          <c:yVal>
            <c:numRef>
              <c:f>Sheet1!$T$22:$T$39</c:f>
              <c:numCache>
                <c:formatCode>0.00</c:formatCode>
                <c:ptCount val="18"/>
                <c:pt idx="0">
                  <c:v>0.82790555924528575</c:v>
                </c:pt>
                <c:pt idx="1">
                  <c:v>1.0008151322716541</c:v>
                </c:pt>
                <c:pt idx="2">
                  <c:v>1.0892022776249073</c:v>
                </c:pt>
                <c:pt idx="3">
                  <c:v>1.161354802135959</c:v>
                </c:pt>
                <c:pt idx="4">
                  <c:v>1.2029074763777698</c:v>
                </c:pt>
                <c:pt idx="5">
                  <c:v>1.220918066901659</c:v>
                </c:pt>
                <c:pt idx="6">
                  <c:v>1.2105021108761129</c:v>
                </c:pt>
                <c:pt idx="7">
                  <c:v>1.1841239436936801</c:v>
                </c:pt>
                <c:pt idx="8">
                  <c:v>1.1483432181949675</c:v>
                </c:pt>
                <c:pt idx="9">
                  <c:v>1.1051365773566124</c:v>
                </c:pt>
                <c:pt idx="10">
                  <c:v>1.05477664997999</c:v>
                </c:pt>
                <c:pt idx="11">
                  <c:v>0.99647616080621904</c:v>
                </c:pt>
                <c:pt idx="12">
                  <c:v>0.92831622693474158</c:v>
                </c:pt>
                <c:pt idx="13">
                  <c:v>0.82457105512953788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07-4CED-AF22-7911E6436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52751"/>
        <c:axId val="575244431"/>
      </c:scatterChart>
      <c:valAx>
        <c:axId val="202886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Sheet1!$AB$2</c:f>
              <c:strCache>
                <c:ptCount val="1"/>
                <c:pt idx="0">
                  <c:v>Discharge, m³/s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512703"/>
        <c:crosses val="autoZero"/>
        <c:crossBetween val="midCat"/>
      </c:valAx>
      <c:valAx>
        <c:axId val="202251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Sheet1!$AB$3</c:f>
              <c:strCache>
                <c:ptCount val="1"/>
                <c:pt idx="0">
                  <c:v>Depth [m]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865663"/>
        <c:crosses val="autoZero"/>
        <c:crossBetween val="midCat"/>
      </c:valAx>
      <c:valAx>
        <c:axId val="575244431"/>
        <c:scaling>
          <c:orientation val="minMax"/>
        </c:scaling>
        <c:delete val="0"/>
        <c:axPos val="r"/>
        <c:title>
          <c:tx>
            <c:strRef>
              <c:f>Sheet1!$AB$4</c:f>
              <c:strCache>
                <c:ptCount val="1"/>
                <c:pt idx="0">
                  <c:v>'Keeper' Velocity, Vs, m/s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C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rgbClr val="C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52751"/>
        <c:crosses val="max"/>
        <c:crossBetween val="midCat"/>
      </c:valAx>
      <c:valAx>
        <c:axId val="57525275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75244431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0"/>
          <c:tx>
            <c:v>Conjugate Depth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Sheet1!$B$22:$B$39</c:f>
              <c:numCache>
                <c:formatCode>0</c:formatCode>
                <c:ptCount val="18"/>
                <c:pt idx="0">
                  <c:v>6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141.58423296000001</c:v>
                </c:pt>
                <c:pt idx="5">
                  <c:v>250</c:v>
                </c:pt>
                <c:pt idx="6">
                  <c:v>391.58423296000001</c:v>
                </c:pt>
                <c:pt idx="7">
                  <c:v>533.16846592000002</c:v>
                </c:pt>
                <c:pt idx="8">
                  <c:v>674.75269888000003</c:v>
                </c:pt>
                <c:pt idx="9">
                  <c:v>816.33693184000003</c:v>
                </c:pt>
                <c:pt idx="10">
                  <c:v>957.92116480000004</c:v>
                </c:pt>
                <c:pt idx="11">
                  <c:v>1099.5053977600001</c:v>
                </c:pt>
                <c:pt idx="12">
                  <c:v>1241.0896307200001</c:v>
                </c:pt>
                <c:pt idx="13">
                  <c:v>1416</c:v>
                </c:pt>
                <c:pt idx="14">
                  <c:v>1557.58423296</c:v>
                </c:pt>
                <c:pt idx="15">
                  <c:v>1699.16846592</c:v>
                </c:pt>
                <c:pt idx="16">
                  <c:v>1700</c:v>
                </c:pt>
                <c:pt idx="17">
                  <c:v>1750</c:v>
                </c:pt>
              </c:numCache>
            </c:numRef>
          </c:xVal>
          <c:yVal>
            <c:numRef>
              <c:f>Sheet1!$N$22:$N$39</c:f>
              <c:numCache>
                <c:formatCode>0.00</c:formatCode>
                <c:ptCount val="18"/>
                <c:pt idx="0">
                  <c:v>8.3124674149431588E-2</c:v>
                </c:pt>
                <c:pt idx="1">
                  <c:v>0.15156509143659447</c:v>
                </c:pt>
                <c:pt idx="2">
                  <c:v>0.21417789907215748</c:v>
                </c:pt>
                <c:pt idx="3">
                  <c:v>0.30270101921286008</c:v>
                </c:pt>
                <c:pt idx="4">
                  <c:v>0.40259705244703109</c:v>
                </c:pt>
                <c:pt idx="5">
                  <c:v>0.53508765929848734</c:v>
                </c:pt>
                <c:pt idx="6">
                  <c:v>0.67010797113343712</c:v>
                </c:pt>
                <c:pt idx="7">
                  <c:v>0.78250866950215792</c:v>
                </c:pt>
                <c:pt idx="8">
                  <c:v>0.88096946216666805</c:v>
                </c:pt>
                <c:pt idx="9">
                  <c:v>0.96972323554434559</c:v>
                </c:pt>
                <c:pt idx="10">
                  <c:v>1.0512114117914493</c:v>
                </c:pt>
                <c:pt idx="11">
                  <c:v>1.1269937802414696</c:v>
                </c:pt>
                <c:pt idx="12">
                  <c:v>1.1981386308045767</c:v>
                </c:pt>
                <c:pt idx="13">
                  <c:v>1.2807543762196205</c:v>
                </c:pt>
                <c:pt idx="14">
                  <c:v>1.3440334684964808</c:v>
                </c:pt>
                <c:pt idx="15">
                  <c:v>1.4045556741736653</c:v>
                </c:pt>
                <c:pt idx="16">
                  <c:v>1.4049036761897982</c:v>
                </c:pt>
                <c:pt idx="17">
                  <c:v>1.4256779589318798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26-49A1-A532-A23E391147DF}"/>
            </c:ext>
          </c:extLst>
        </c:ser>
        <c:ser>
          <c:idx val="0"/>
          <c:order val="1"/>
          <c:tx>
            <c:v>Site Tailwater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Sheet1!$B$22:$B$39</c:f>
              <c:numCache>
                <c:formatCode>0</c:formatCode>
                <c:ptCount val="18"/>
                <c:pt idx="0">
                  <c:v>6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141.58423296000001</c:v>
                </c:pt>
                <c:pt idx="5">
                  <c:v>250</c:v>
                </c:pt>
                <c:pt idx="6">
                  <c:v>391.58423296000001</c:v>
                </c:pt>
                <c:pt idx="7">
                  <c:v>533.16846592000002</c:v>
                </c:pt>
                <c:pt idx="8">
                  <c:v>674.75269888000003</c:v>
                </c:pt>
                <c:pt idx="9">
                  <c:v>816.33693184000003</c:v>
                </c:pt>
                <c:pt idx="10">
                  <c:v>957.92116480000004</c:v>
                </c:pt>
                <c:pt idx="11">
                  <c:v>1099.5053977600001</c:v>
                </c:pt>
                <c:pt idx="12">
                  <c:v>1241.0896307200001</c:v>
                </c:pt>
                <c:pt idx="13">
                  <c:v>1416</c:v>
                </c:pt>
                <c:pt idx="14">
                  <c:v>1557.58423296</c:v>
                </c:pt>
                <c:pt idx="15">
                  <c:v>1699.16846592</c:v>
                </c:pt>
                <c:pt idx="16">
                  <c:v>1700</c:v>
                </c:pt>
                <c:pt idx="17">
                  <c:v>1750</c:v>
                </c:pt>
              </c:numCache>
            </c:numRef>
          </c:xVal>
          <c:yVal>
            <c:numRef>
              <c:f>Sheet1!$O$22:$O$39</c:f>
              <c:numCache>
                <c:formatCode>0.00</c:formatCode>
                <c:ptCount val="18"/>
                <c:pt idx="0">
                  <c:v>0.25343166913266157</c:v>
                </c:pt>
                <c:pt idx="1">
                  <c:v>0.34181385384805729</c:v>
                </c:pt>
                <c:pt idx="2">
                  <c:v>0.4304211046334967</c:v>
                </c:pt>
                <c:pt idx="3">
                  <c:v>0.56472458256192881</c:v>
                </c:pt>
                <c:pt idx="4">
                  <c:v>0.72596713183912298</c:v>
                </c:pt>
                <c:pt idx="5">
                  <c:v>0.95199537974931958</c:v>
                </c:pt>
                <c:pt idx="6">
                  <c:v>1.1936118383177308</c:v>
                </c:pt>
                <c:pt idx="7">
                  <c:v>1.4018529137593296</c:v>
                </c:pt>
                <c:pt idx="8">
                  <c:v>1.5888188839130657</c:v>
                </c:pt>
                <c:pt idx="9">
                  <c:v>1.7606031889708718</c:v>
                </c:pt>
                <c:pt idx="10">
                  <c:v>1.920806068513297</c:v>
                </c:pt>
                <c:pt idx="11">
                  <c:v>2.071772667560086</c:v>
                </c:pt>
                <c:pt idx="12">
                  <c:v>2.2151354190632677</c:v>
                </c:pt>
                <c:pt idx="13">
                  <c:v>2.383492903401021</c:v>
                </c:pt>
                <c:pt idx="14">
                  <c:v>2.5137490406019571</c:v>
                </c:pt>
                <c:pt idx="15">
                  <c:v>2.6393465628558022</c:v>
                </c:pt>
                <c:pt idx="16">
                  <c:v>2.640071556852809</c:v>
                </c:pt>
                <c:pt idx="17">
                  <c:v>2.6834081045494056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26-49A1-A532-A23E391147DF}"/>
            </c:ext>
          </c:extLst>
        </c:ser>
        <c:ser>
          <c:idx val="1"/>
          <c:order val="2"/>
          <c:tx>
            <c:v>Flip Threshold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Sheet1!$B$22:$B$39</c:f>
              <c:numCache>
                <c:formatCode>0</c:formatCode>
                <c:ptCount val="18"/>
                <c:pt idx="0">
                  <c:v>6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141.58423296000001</c:v>
                </c:pt>
                <c:pt idx="5">
                  <c:v>250</c:v>
                </c:pt>
                <c:pt idx="6">
                  <c:v>391.58423296000001</c:v>
                </c:pt>
                <c:pt idx="7">
                  <c:v>533.16846592000002</c:v>
                </c:pt>
                <c:pt idx="8">
                  <c:v>674.75269888000003</c:v>
                </c:pt>
                <c:pt idx="9">
                  <c:v>816.33693184000003</c:v>
                </c:pt>
                <c:pt idx="10">
                  <c:v>957.92116480000004</c:v>
                </c:pt>
                <c:pt idx="11">
                  <c:v>1099.5053977600001</c:v>
                </c:pt>
                <c:pt idx="12">
                  <c:v>1241.0896307200001</c:v>
                </c:pt>
                <c:pt idx="13">
                  <c:v>1416</c:v>
                </c:pt>
                <c:pt idx="14">
                  <c:v>1557.58423296</c:v>
                </c:pt>
                <c:pt idx="15">
                  <c:v>1699.16846592</c:v>
                </c:pt>
                <c:pt idx="16">
                  <c:v>1700</c:v>
                </c:pt>
                <c:pt idx="17">
                  <c:v>1750</c:v>
                </c:pt>
              </c:numCache>
            </c:numRef>
          </c:xVal>
          <c:yVal>
            <c:numRef>
              <c:f>Sheet1!$U$22:$U$39</c:f>
              <c:numCache>
                <c:formatCode>0.00</c:formatCode>
                <c:ptCount val="18"/>
                <c:pt idx="0">
                  <c:v>1.6820778844631996</c:v>
                </c:pt>
                <c:pt idx="1">
                  <c:v>1.7060796196435721</c:v>
                </c:pt>
                <c:pt idx="2">
                  <c:v>1.7315653565400835</c:v>
                </c:pt>
                <c:pt idx="3">
                  <c:v>1.7718918810535185</c:v>
                </c:pt>
                <c:pt idx="4">
                  <c:v>1.8221422764204651</c:v>
                </c:pt>
                <c:pt idx="5">
                  <c:v>1.8948770786900175</c:v>
                </c:pt>
                <c:pt idx="6">
                  <c:v>1.9746924904709249</c:v>
                </c:pt>
                <c:pt idx="7">
                  <c:v>2.0447177682246203</c:v>
                </c:pt>
                <c:pt idx="8">
                  <c:v>2.1083315160239491</c:v>
                </c:pt>
                <c:pt idx="9">
                  <c:v>2.1672753769352289</c:v>
                </c:pt>
                <c:pt idx="10">
                  <c:v>2.2225970871955565</c:v>
                </c:pt>
                <c:pt idx="11">
                  <c:v>2.2749893256380864</c:v>
                </c:pt>
                <c:pt idx="12">
                  <c:v>2.3249404149356367</c:v>
                </c:pt>
                <c:pt idx="13">
                  <c:v>2.3838076856588675</c:v>
                </c:pt>
                <c:pt idx="14">
                  <c:v>2.4294827379197663</c:v>
                </c:pt>
                <c:pt idx="15">
                  <c:v>2.47361539390123</c:v>
                </c:pt>
                <c:pt idx="16">
                  <c:v>2.4738703776649968</c:v>
                </c:pt>
                <c:pt idx="17">
                  <c:v>2.4891165960289534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26-49A1-A532-A23E39114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865663"/>
        <c:axId val="2022512703"/>
      </c:scatterChart>
      <c:scatterChart>
        <c:scatterStyle val="lineMarker"/>
        <c:varyColors val="0"/>
        <c:ser>
          <c:idx val="2"/>
          <c:order val="3"/>
          <c:tx>
            <c:v>Vs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Sheet1!$B$22:$B$39</c:f>
              <c:numCache>
                <c:formatCode>0</c:formatCode>
                <c:ptCount val="18"/>
                <c:pt idx="0">
                  <c:v>6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141.58423296000001</c:v>
                </c:pt>
                <c:pt idx="5">
                  <c:v>250</c:v>
                </c:pt>
                <c:pt idx="6">
                  <c:v>391.58423296000001</c:v>
                </c:pt>
                <c:pt idx="7">
                  <c:v>533.16846592000002</c:v>
                </c:pt>
                <c:pt idx="8">
                  <c:v>674.75269888000003</c:v>
                </c:pt>
                <c:pt idx="9">
                  <c:v>816.33693184000003</c:v>
                </c:pt>
                <c:pt idx="10">
                  <c:v>957.92116480000004</c:v>
                </c:pt>
                <c:pt idx="11">
                  <c:v>1099.5053977600001</c:v>
                </c:pt>
                <c:pt idx="12">
                  <c:v>1241.0896307200001</c:v>
                </c:pt>
                <c:pt idx="13">
                  <c:v>1416</c:v>
                </c:pt>
                <c:pt idx="14">
                  <c:v>1557.58423296</c:v>
                </c:pt>
                <c:pt idx="15">
                  <c:v>1699.16846592</c:v>
                </c:pt>
                <c:pt idx="16">
                  <c:v>1700</c:v>
                </c:pt>
                <c:pt idx="17">
                  <c:v>1750</c:v>
                </c:pt>
              </c:numCache>
            </c:numRef>
          </c:xVal>
          <c:yVal>
            <c:numRef>
              <c:f>Sheet1!$T$22:$T$39</c:f>
              <c:numCache>
                <c:formatCode>0.00</c:formatCode>
                <c:ptCount val="18"/>
                <c:pt idx="0">
                  <c:v>0.82790555924528575</c:v>
                </c:pt>
                <c:pt idx="1">
                  <c:v>1.0008151322716541</c:v>
                </c:pt>
                <c:pt idx="2">
                  <c:v>1.0892022776249073</c:v>
                </c:pt>
                <c:pt idx="3">
                  <c:v>1.161354802135959</c:v>
                </c:pt>
                <c:pt idx="4">
                  <c:v>1.2029074763777698</c:v>
                </c:pt>
                <c:pt idx="5">
                  <c:v>1.220918066901659</c:v>
                </c:pt>
                <c:pt idx="6">
                  <c:v>1.2105021108761129</c:v>
                </c:pt>
                <c:pt idx="7">
                  <c:v>1.1841239436936801</c:v>
                </c:pt>
                <c:pt idx="8">
                  <c:v>1.1483432181949675</c:v>
                </c:pt>
                <c:pt idx="9">
                  <c:v>1.1051365773566124</c:v>
                </c:pt>
                <c:pt idx="10">
                  <c:v>1.05477664997999</c:v>
                </c:pt>
                <c:pt idx="11">
                  <c:v>0.99647616080621904</c:v>
                </c:pt>
                <c:pt idx="12">
                  <c:v>0.92831622693474158</c:v>
                </c:pt>
                <c:pt idx="13">
                  <c:v>0.82457105512953788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B26-49A1-A532-A23E39114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52751"/>
        <c:axId val="575244431"/>
      </c:scatterChart>
      <c:valAx>
        <c:axId val="2028865663"/>
        <c:scaling>
          <c:orientation val="minMax"/>
          <c:max val="1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Discharge [m</a:t>
                </a:r>
                <a:r>
                  <a:rPr lang="en-US" sz="16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/s]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512703"/>
        <c:crosses val="autoZero"/>
        <c:crossBetween val="midCat"/>
      </c:valAx>
      <c:valAx>
        <c:axId val="202251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Sheet1!$AB$3</c:f>
              <c:strCache>
                <c:ptCount val="1"/>
                <c:pt idx="0">
                  <c:v>Depth [m]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865663"/>
        <c:crosses val="autoZero"/>
        <c:crossBetween val="midCat"/>
      </c:valAx>
      <c:valAx>
        <c:axId val="575244431"/>
        <c:scaling>
          <c:orientation val="minMax"/>
          <c:max val="1.5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"Keeper" Velocity, </a:t>
                </a:r>
                <a:r>
                  <a:rPr lang="en-US" sz="1600" i="1"/>
                  <a:t>V</a:t>
                </a:r>
                <a:r>
                  <a:rPr lang="en-US" sz="1600" i="1" baseline="-25000"/>
                  <a:t>s</a:t>
                </a:r>
                <a:r>
                  <a:rPr lang="en-US" sz="1600"/>
                  <a:t> [m/s]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rgbClr val="C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rgbClr val="C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52751"/>
        <c:crosses val="max"/>
        <c:crossBetween val="midCat"/>
        <c:majorUnit val="0.25"/>
      </c:valAx>
      <c:valAx>
        <c:axId val="57525275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75244431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40</xdr:row>
      <xdr:rowOff>53340</xdr:rowOff>
    </xdr:from>
    <xdr:to>
      <xdr:col>13</xdr:col>
      <xdr:colOff>416242</xdr:colOff>
      <xdr:row>59</xdr:row>
      <xdr:rowOff>1905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CFF35D-62B0-4B08-8495-338B48EC60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363855</xdr:colOff>
      <xdr:row>40</xdr:row>
      <xdr:rowOff>72389</xdr:rowOff>
    </xdr:from>
    <xdr:to>
      <xdr:col>25</xdr:col>
      <xdr:colOff>592666</xdr:colOff>
      <xdr:row>64</xdr:row>
      <xdr:rowOff>52917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021BC8B-DCD2-4014-B327-6D20C8BF48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0.49106</cdr:x>
      <cdr:y>0.40162</cdr:y>
    </cdr:from>
    <cdr:to>
      <cdr:x>0.65323</cdr:x>
      <cdr:y>0.4508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E392B166-61BC-88ED-8950-DE30DFF30D41}"/>
            </a:ext>
          </a:extLst>
        </cdr:cNvPr>
        <cdr:cNvSpPr/>
      </cdr:nvSpPr>
      <cdr:spPr>
        <a:xfrm xmlns:a="http://schemas.openxmlformats.org/drawingml/2006/main">
          <a:off x="4550621" y="1728682"/>
          <a:ext cx="1502834" cy="2116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0.43852</cdr:x>
      <cdr:y>0.35982</cdr:y>
    </cdr:from>
    <cdr:to>
      <cdr:x>0.70576</cdr:x>
      <cdr:y>0.409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F2119D43-9AD5-B1EE-1DD0-A05E69509576}"/>
            </a:ext>
          </a:extLst>
        </cdr:cNvPr>
        <cdr:cNvSpPr/>
      </cdr:nvSpPr>
      <cdr:spPr>
        <a:xfrm xmlns:a="http://schemas.openxmlformats.org/drawingml/2006/main">
          <a:off x="4063788" y="1548766"/>
          <a:ext cx="2476500" cy="21166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0.43913</cdr:x>
      <cdr:y>0.35671</cdr:y>
    </cdr:from>
    <cdr:to>
      <cdr:x>0.7069</cdr:x>
      <cdr:y>0.44797</cdr:y>
    </cdr:to>
    <cdr:sp macro="" textlink="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4086040-50DE-4324-9063-44EEBAD42D2C}"/>
            </a:ext>
          </a:extLst>
        </cdr:cNvPr>
        <cdr:cNvSpPr txBox="1"/>
      </cdr:nvSpPr>
      <cdr:spPr>
        <a:xfrm xmlns:a="http://schemas.openxmlformats.org/drawingml/2006/main">
          <a:off x="4069451" y="1535364"/>
          <a:ext cx="2481420" cy="392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/>
            <a:t>Y</a:t>
          </a:r>
          <a:r>
            <a:rPr lang="en-US" sz="1400" baseline="-25000"/>
            <a:t>t</a:t>
          </a:r>
          <a:r>
            <a:rPr lang="en-US" sz="1400"/>
            <a:t> &gt;Y</a:t>
          </a:r>
          <a:r>
            <a:rPr lang="en-US" sz="1400" baseline="-25000"/>
            <a:t>2</a:t>
          </a:r>
          <a:r>
            <a:rPr lang="en-US" sz="1400" baseline="0"/>
            <a:t>, s</a:t>
          </a:r>
          <a:r>
            <a:rPr lang="en-US" sz="1400"/>
            <a:t>ubmerged, plunging </a:t>
          </a:r>
          <a:r>
            <a:rPr lang="en-US" sz="1400" baseline="0"/>
            <a:t>jump</a:t>
          </a:r>
        </a:p>
        <a:p xmlns:a="http://schemas.openxmlformats.org/drawingml/2006/main">
          <a:pPr algn="ctr"/>
          <a:r>
            <a:rPr lang="en-US" sz="1400" baseline="0"/>
            <a:t>Dangerous, Case C</a:t>
          </a:r>
          <a:endParaRPr lang="en-US" sz="1400"/>
        </a:p>
      </cdr:txBody>
    </cdr:sp>
  </cdr:relSizeAnchor>
  <cdr:relSizeAnchor xmlns:cdr="http://schemas.openxmlformats.org/drawingml/2006/chartDrawing">
    <cdr:from>
      <cdr:x>0.76511</cdr:x>
      <cdr:y>0.21965</cdr:y>
    </cdr:from>
    <cdr:to>
      <cdr:x>0.83671</cdr:x>
      <cdr:y>0.28288</cdr:y>
    </cdr:to>
    <cdr:sp macro="" textlink="">
      <cdr:nvSpPr>
        <cdr:cNvPr id="5" name="TextBox 8">
          <a:extLst xmlns:a="http://schemas.openxmlformats.org/drawingml/2006/main">
            <a:ext uri="{FF2B5EF4-FFF2-40B4-BE49-F238E27FC236}">
              <a16:creationId xmlns:a16="http://schemas.microsoft.com/office/drawing/2014/main" id="{7F6CDF80-2B28-416C-BFD6-A4A27BECA1F3}"/>
            </a:ext>
          </a:extLst>
        </cdr:cNvPr>
        <cdr:cNvSpPr txBox="1"/>
      </cdr:nvSpPr>
      <cdr:spPr>
        <a:xfrm xmlns:a="http://schemas.openxmlformats.org/drawingml/2006/main">
          <a:off x="7090242" y="945415"/>
          <a:ext cx="663516" cy="272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flip point</a:t>
          </a:r>
        </a:p>
      </cdr:txBody>
    </cdr:sp>
  </cdr:relSizeAnchor>
  <cdr:relSizeAnchor xmlns:cdr="http://schemas.openxmlformats.org/drawingml/2006/chartDrawing">
    <cdr:from>
      <cdr:x>0.72842</cdr:x>
      <cdr:y>0.191</cdr:y>
    </cdr:from>
    <cdr:to>
      <cdr:x>0.75511</cdr:x>
      <cdr:y>0.23284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id="{4F247566-37C1-4767-90DC-5898B8CD651E}"/>
            </a:ext>
          </a:extLst>
        </cdr:cNvPr>
        <cdr:cNvCxnSpPr/>
      </cdr:nvCxnSpPr>
      <cdr:spPr>
        <a:xfrm xmlns:a="http://schemas.openxmlformats.org/drawingml/2006/main" flipH="1" flipV="1">
          <a:off x="6642311" y="869528"/>
          <a:ext cx="243417" cy="1905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0.63724</cdr:x>
      <cdr:y>0.53988</cdr:y>
    </cdr:from>
    <cdr:to>
      <cdr:x>0.8851</cdr:x>
      <cdr:y>0.66472</cdr:y>
    </cdr:to>
    <cdr:sp macro="" textlink="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E4086040-50DE-4324-9063-44EEBAD42D2C}"/>
            </a:ext>
          </a:extLst>
        </cdr:cNvPr>
        <cdr:cNvSpPr txBox="1"/>
      </cdr:nvSpPr>
      <cdr:spPr>
        <a:xfrm xmlns:a="http://schemas.openxmlformats.org/drawingml/2006/main">
          <a:off x="5905288" y="2323775"/>
          <a:ext cx="2296913" cy="5373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</a:t>
          </a:r>
          <a:r>
            <a:rPr lang="en-US" sz="14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&lt; Y</a:t>
          </a:r>
          <a:r>
            <a:rPr lang="en-US" sz="14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400"/>
            <a:t>non-submerged</a:t>
          </a:r>
          <a:r>
            <a:rPr lang="en-US" sz="1400" baseline="0"/>
            <a:t> jump</a:t>
          </a:r>
          <a:br>
            <a:rPr lang="en-US" sz="1400" baseline="0"/>
          </a:br>
          <a:r>
            <a:rPr lang="en-US" sz="1400" baseline="0"/>
            <a:t>Case A</a:t>
          </a:r>
          <a:endParaRPr lang="en-US" sz="1400"/>
        </a:p>
      </cdr:txBody>
    </cdr:sp>
  </cdr:relSizeAnchor>
  <cdr:relSizeAnchor xmlns:cdr="http://schemas.openxmlformats.org/drawingml/2006/chartDrawing">
    <cdr:from>
      <cdr:x>0.76788</cdr:x>
      <cdr:y>0.04485</cdr:y>
    </cdr:from>
    <cdr:to>
      <cdr:x>0.89439</cdr:x>
      <cdr:y>0.09801</cdr:y>
    </cdr:to>
    <cdr:sp macro="" textlink="">
      <cdr:nvSpPr>
        <cdr:cNvPr id="9" name="TextBox 4">
          <a:extLst xmlns:a="http://schemas.openxmlformats.org/drawingml/2006/main">
            <a:ext uri="{FF2B5EF4-FFF2-40B4-BE49-F238E27FC236}">
              <a16:creationId xmlns:a16="http://schemas.microsoft.com/office/drawing/2014/main" id="{F7D9B224-DC10-44F6-A785-3AAF61D9AF8B}"/>
            </a:ext>
          </a:extLst>
        </cdr:cNvPr>
        <cdr:cNvSpPr txBox="1"/>
      </cdr:nvSpPr>
      <cdr:spPr>
        <a:xfrm xmlns:a="http://schemas.openxmlformats.org/drawingml/2006/main">
          <a:off x="7002168" y="204165"/>
          <a:ext cx="1153561" cy="24202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/>
            <a:t>flipped, Case D</a:t>
          </a:r>
        </a:p>
      </cdr:txBody>
    </cdr:sp>
  </cdr:relSizeAnchor>
  <cdr:relSizeAnchor xmlns:cdr="http://schemas.openxmlformats.org/drawingml/2006/chartDrawing">
    <cdr:from>
      <cdr:x>0.83752</cdr:x>
      <cdr:y>0.08871</cdr:y>
    </cdr:from>
    <cdr:to>
      <cdr:x>0.83752</cdr:x>
      <cdr:y>0.16775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543FDC93-D049-1859-EB67-076193822E7D}"/>
            </a:ext>
          </a:extLst>
        </cdr:cNvPr>
        <cdr:cNvCxnSpPr/>
      </cdr:nvCxnSpPr>
      <cdr:spPr>
        <a:xfrm xmlns:a="http://schemas.openxmlformats.org/drawingml/2006/main" flipV="1">
          <a:off x="7637145" y="403861"/>
          <a:ext cx="0" cy="35983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0.7702</cdr:x>
      <cdr:y>0.44904</cdr:y>
    </cdr:from>
    <cdr:to>
      <cdr:x>0.7702</cdr:x>
      <cdr:y>0.53506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983FF570-CF46-A863-6AF4-442F3496CEDD}"/>
            </a:ext>
          </a:extLst>
        </cdr:cNvPr>
        <cdr:cNvCxnSpPr/>
      </cdr:nvCxnSpPr>
      <cdr:spPr>
        <a:xfrm xmlns:a="http://schemas.openxmlformats.org/drawingml/2006/main" flipH="1">
          <a:off x="7023311" y="2044277"/>
          <a:ext cx="1" cy="39158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0.43471</cdr:x>
      <cdr:y>0.23955</cdr:y>
    </cdr:from>
    <cdr:to>
      <cdr:x>0.43471</cdr:x>
      <cdr:y>0.52316</cdr:y>
    </cdr:to>
    <cdr:cxnSp macro="">
      <cdr:nvCxnSpPr>
        <cdr:cNvPr id="15" name="Straight Arrow Connector 14">
          <a:extLst xmlns:a="http://schemas.openxmlformats.org/drawingml/2006/main">
            <a:ext uri="{FF2B5EF4-FFF2-40B4-BE49-F238E27FC236}">
              <a16:creationId xmlns:a16="http://schemas.microsoft.com/office/drawing/2014/main" id="{942D466E-F313-D4E1-9444-8FFAFB37EE28}"/>
            </a:ext>
          </a:extLst>
        </cdr:cNvPr>
        <cdr:cNvCxnSpPr/>
      </cdr:nvCxnSpPr>
      <cdr:spPr>
        <a:xfrm xmlns:a="http://schemas.openxmlformats.org/drawingml/2006/main" flipV="1">
          <a:off x="4028431" y="1031091"/>
          <a:ext cx="0" cy="122072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ysClr val="windowText" lastClr="000000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9</xdr:row>
      <xdr:rowOff>133350</xdr:rowOff>
    </xdr:from>
    <xdr:to>
      <xdr:col>21</xdr:col>
      <xdr:colOff>48652</xdr:colOff>
      <xdr:row>20</xdr:row>
      <xdr:rowOff>35716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5CBC358-CBE4-4355-BE7D-3893788291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86"/>
        <a:stretch/>
      </xdr:blipFill>
      <xdr:spPr>
        <a:xfrm>
          <a:off x="7934325" y="2038350"/>
          <a:ext cx="4915927" cy="1997866"/>
        </a:xfrm>
        <a:prstGeom prst="rect">
          <a:avLst/>
        </a:prstGeom>
      </xdr:spPr>
    </xdr:pic>
    <xdr:clientData/>
  </xdr:twoCellAnchor>
  <xdr:twoCellAnchor>
    <xdr:from>
      <xdr:col>20</xdr:col>
      <xdr:colOff>361950</xdr:colOff>
      <xdr:row>15</xdr:row>
      <xdr:rowOff>15239</xdr:rowOff>
    </xdr:from>
    <xdr:to>
      <xdr:col>22</xdr:col>
      <xdr:colOff>76200</xdr:colOff>
      <xdr:row>17</xdr:row>
      <xdr:rowOff>177164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A12EFE9-999B-48E5-B879-934CF344E17E}"/>
            </a:ext>
          </a:extLst>
        </xdr:cNvPr>
        <xdr:cNvSpPr txBox="1"/>
      </xdr:nvSpPr>
      <xdr:spPr>
        <a:xfrm>
          <a:off x="12553950" y="2887979"/>
          <a:ext cx="933450" cy="5276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en-US" sz="2800"/>
            <a:t>Y</a:t>
          </a:r>
          <a:r>
            <a:rPr lang="en-US" sz="2800" baseline="-25000"/>
            <a:t>T</a:t>
          </a:r>
        </a:p>
      </xdr:txBody>
    </xdr:sp>
    <xdr:clientData/>
  </xdr:twoCellAnchor>
  <xdr:twoCellAnchor>
    <xdr:from>
      <xdr:col>20</xdr:col>
      <xdr:colOff>280035</xdr:colOff>
      <xdr:row>15</xdr:row>
      <xdr:rowOff>15953</xdr:rowOff>
    </xdr:from>
    <xdr:to>
      <xdr:col>20</xdr:col>
      <xdr:colOff>281062</xdr:colOff>
      <xdr:row>17</xdr:row>
      <xdr:rowOff>93345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4F496B61-304E-45BE-91F5-DAA265B0F10A}"/>
            </a:ext>
          </a:extLst>
        </xdr:cNvPr>
        <xdr:cNvCxnSpPr/>
      </xdr:nvCxnSpPr>
      <xdr:spPr>
        <a:xfrm flipH="1">
          <a:off x="12472035" y="2888693"/>
          <a:ext cx="1027" cy="443152"/>
        </a:xfrm>
        <a:prstGeom prst="straightConnector1">
          <a:avLst/>
        </a:prstGeom>
        <a:ln w="19050"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9525</xdr:colOff>
      <xdr:row>10</xdr:row>
      <xdr:rowOff>133350</xdr:rowOff>
    </xdr:from>
    <xdr:to>
      <xdr:col>12</xdr:col>
      <xdr:colOff>447675</xdr:colOff>
      <xdr:row>30</xdr:row>
      <xdr:rowOff>115349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0CBFE2-D10D-4B28-B62D-83222E18165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13" t="7036" r="1729" b="2822"/>
        <a:stretch/>
      </xdr:blipFill>
      <xdr:spPr bwMode="auto">
        <a:xfrm>
          <a:off x="9525" y="2228850"/>
          <a:ext cx="7753350" cy="383009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0</xdr:colOff>
      <xdr:row>23</xdr:row>
      <xdr:rowOff>0</xdr:rowOff>
    </xdr:from>
    <xdr:to>
      <xdr:col>20</xdr:col>
      <xdr:colOff>591604</xdr:colOff>
      <xdr:row>33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E269C42-BED8-1889-2EA2-8BF21961F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24800" y="4572000"/>
          <a:ext cx="4858804" cy="2057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407824</xdr:colOff>
      <xdr:row>8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3E0A170-BA1A-422B-AEF3-21BC75AF07B8}"/>
            </a:ext>
          </a:extLst>
        </xdr:cNvPr>
        <xdr:cNvSpPr txBox="1"/>
      </xdr:nvSpPr>
      <xdr:spPr>
        <a:xfrm>
          <a:off x="609600" y="190500"/>
          <a:ext cx="4675024" cy="14097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Iterative calculation is required for this spreadsheet due to circular references.  Excel does not always remember the iterative calculation setting.  To re-enable</a:t>
          </a:r>
          <a:r>
            <a:rPr lang="en-US" sz="1400" baseline="0"/>
            <a:t> iterative calculation, go to File / Options / Formulas and check the </a:t>
          </a:r>
          <a:r>
            <a:rPr lang="en-US" sz="1400" b="1" baseline="0"/>
            <a:t>Enable iterative calculation</a:t>
          </a:r>
          <a:r>
            <a:rPr lang="en-US" sz="1400" baseline="0"/>
            <a:t> box.  (See screen shot at right.)</a:t>
          </a:r>
        </a:p>
      </xdr:txBody>
    </xdr:sp>
    <xdr:clientData/>
  </xdr:twoCellAnchor>
  <xdr:twoCellAnchor editAs="oneCell">
    <xdr:from>
      <xdr:col>10</xdr:col>
      <xdr:colOff>19050</xdr:colOff>
      <xdr:row>1</xdr:row>
      <xdr:rowOff>38100</xdr:rowOff>
    </xdr:from>
    <xdr:to>
      <xdr:col>22</xdr:col>
      <xdr:colOff>570517</xdr:colOff>
      <xdr:row>35</xdr:row>
      <xdr:rowOff>18243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0B06EC9-3546-48E7-8EE4-A679E677E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15050" y="228600"/>
          <a:ext cx="7866667" cy="64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D62C3-5570-4134-9DE6-82E584D45C19}">
  <dimension ref="A1:AD39"/>
  <sheetViews>
    <sheetView zoomScale="90" zoomScaleNormal="90" workbookViewId="0">
      <selection activeCell="O20" sqref="O20"/>
    </sheetView>
  </sheetViews>
  <sheetFormatPr defaultRowHeight="15" x14ac:dyDescent="0.25"/>
  <cols>
    <col min="1" max="1" width="8.85546875" customWidth="1"/>
    <col min="2" max="2" width="17.28515625" customWidth="1"/>
    <col min="3" max="3" width="12.85546875" customWidth="1"/>
    <col min="4" max="4" width="10.28515625" customWidth="1"/>
    <col min="5" max="5" width="12.28515625" customWidth="1"/>
    <col min="6" max="6" width="8.42578125" customWidth="1"/>
    <col min="7" max="7" width="8.28515625" customWidth="1"/>
    <col min="8" max="8" width="9.28515625" customWidth="1"/>
    <col min="9" max="9" width="16.7109375" customWidth="1"/>
    <col min="10" max="10" width="9.7109375" customWidth="1"/>
    <col min="11" max="11" width="10.42578125" customWidth="1"/>
    <col min="12" max="12" width="9.28515625" customWidth="1"/>
    <col min="13" max="13" width="13.28515625" customWidth="1"/>
    <col min="14" max="14" width="10.7109375" customWidth="1"/>
    <col min="15" max="15" width="16.5703125" customWidth="1"/>
    <col min="16" max="16" width="13.7109375" customWidth="1"/>
    <col min="17" max="17" width="12" customWidth="1"/>
    <col min="18" max="18" width="13.7109375" customWidth="1"/>
    <col min="19" max="19" width="17.42578125" customWidth="1"/>
    <col min="20" max="20" width="11.42578125" customWidth="1"/>
    <col min="22" max="22" width="13.28515625" customWidth="1"/>
  </cols>
  <sheetData>
    <row r="1" spans="1:30" s="13" customFormat="1" ht="36.75" customHeight="1" thickBot="1" x14ac:dyDescent="0.4">
      <c r="A1" s="17"/>
      <c r="B1" s="17" t="s">
        <v>46</v>
      </c>
      <c r="Q1" s="27" t="s">
        <v>32</v>
      </c>
      <c r="R1" s="28" t="s">
        <v>61</v>
      </c>
      <c r="S1" s="29"/>
      <c r="X1" s="30" t="s">
        <v>38</v>
      </c>
      <c r="Y1" s="30"/>
      <c r="Z1" s="30"/>
      <c r="AB1" s="30" t="s">
        <v>39</v>
      </c>
      <c r="AC1" s="30"/>
      <c r="AD1" s="30"/>
    </row>
    <row r="2" spans="1:30" s="15" customFormat="1" ht="23.25" x14ac:dyDescent="0.35">
      <c r="A2" s="15" t="s">
        <v>22</v>
      </c>
      <c r="Q2" s="18" t="s">
        <v>36</v>
      </c>
      <c r="R2" s="19">
        <f>IF(R1="English",0.3048,1)</f>
        <v>1</v>
      </c>
      <c r="S2" s="20"/>
      <c r="X2" s="13" t="s">
        <v>2</v>
      </c>
      <c r="Y2" s="13" t="s">
        <v>1</v>
      </c>
      <c r="Z2" s="13" t="s">
        <v>37</v>
      </c>
      <c r="AB2" s="15" t="str">
        <f>"Discharge, "&amp;X3</f>
        <v>Discharge, m³/s</v>
      </c>
    </row>
    <row r="3" spans="1:30" s="3" customFormat="1" ht="21" x14ac:dyDescent="0.3">
      <c r="A3" s="34"/>
      <c r="B3" s="35" t="s">
        <v>48</v>
      </c>
      <c r="C3" s="34" t="s">
        <v>47</v>
      </c>
      <c r="I3" s="14"/>
      <c r="J3" s="14"/>
      <c r="K3" s="14"/>
      <c r="L3" s="14"/>
      <c r="M3" s="14"/>
      <c r="N3" s="14"/>
      <c r="O3" s="14"/>
      <c r="Q3" s="21" t="s">
        <v>33</v>
      </c>
      <c r="R3" s="22">
        <f>9.806/R2</f>
        <v>9.8059999999999992</v>
      </c>
      <c r="S3" s="23" t="s">
        <v>34</v>
      </c>
      <c r="T3" s="15"/>
      <c r="X3" s="15" t="str">
        <f>IF($R$1="English","cfs","m³/s")</f>
        <v>m³/s</v>
      </c>
      <c r="Y3" s="15" t="str">
        <f>IF($R$1="English","ft","m")</f>
        <v>m</v>
      </c>
      <c r="Z3" s="15" t="str">
        <f>Y3&amp;("/s")</f>
        <v>m/s</v>
      </c>
      <c r="AB3" s="15" t="str">
        <f>"Depth ["&amp;Y3&amp;"]"</f>
        <v>Depth [m]</v>
      </c>
    </row>
    <row r="4" spans="1:30" s="14" customFormat="1" ht="19.5" thickBot="1" x14ac:dyDescent="0.35">
      <c r="C4" s="34" t="s">
        <v>49</v>
      </c>
      <c r="Q4" s="24" t="s">
        <v>35</v>
      </c>
      <c r="R4" s="25">
        <f>R2^(-1/3)</f>
        <v>1</v>
      </c>
      <c r="S4" s="26"/>
      <c r="AB4" s="15" t="str">
        <f>"'Keeper' Velocity, Vs, "&amp;Z3</f>
        <v>'Keeper' Velocity, Vs, m/s</v>
      </c>
    </row>
    <row r="5" spans="1:30" s="14" customFormat="1" ht="18.75" x14ac:dyDescent="0.3">
      <c r="C5" s="34"/>
      <c r="X5" s="15"/>
      <c r="AB5" s="15"/>
    </row>
    <row r="6" spans="1:30" s="14" customFormat="1" ht="23.25" x14ac:dyDescent="0.35">
      <c r="A6" s="13" t="s">
        <v>26</v>
      </c>
      <c r="K6" s="13" t="s">
        <v>30</v>
      </c>
      <c r="L6" s="17" t="s">
        <v>31</v>
      </c>
    </row>
    <row r="7" spans="1:30" s="14" customFormat="1" x14ac:dyDescent="0.25">
      <c r="B7" s="36" t="s">
        <v>50</v>
      </c>
    </row>
    <row r="8" spans="1:30" s="14" customFormat="1" x14ac:dyDescent="0.25">
      <c r="B8" s="14" t="s">
        <v>27</v>
      </c>
    </row>
    <row r="9" spans="1:30" s="14" customFormat="1" x14ac:dyDescent="0.25">
      <c r="B9" s="14" t="s">
        <v>25</v>
      </c>
    </row>
    <row r="10" spans="1:30" s="14" customFormat="1" x14ac:dyDescent="0.25">
      <c r="B10" s="14" t="s">
        <v>28</v>
      </c>
      <c r="L10"/>
    </row>
    <row r="11" spans="1:30" s="14" customFormat="1" x14ac:dyDescent="0.25">
      <c r="B11" s="14" t="s">
        <v>29</v>
      </c>
      <c r="L11"/>
    </row>
    <row r="12" spans="1:30" s="15" customFormat="1" ht="18.75" x14ac:dyDescent="0.3">
      <c r="L12"/>
    </row>
    <row r="13" spans="1:30" s="3" customFormat="1" ht="18.75" x14ac:dyDescent="0.3">
      <c r="L13"/>
    </row>
    <row r="14" spans="1:30" ht="19.5" x14ac:dyDescent="0.35">
      <c r="B14" s="33" t="s">
        <v>58</v>
      </c>
      <c r="F14" s="1">
        <f>3460*0.3048</f>
        <v>1054.6079999999999</v>
      </c>
      <c r="G14" t="str">
        <f>$Y$3</f>
        <v>m</v>
      </c>
      <c r="I14" s="33" t="s">
        <v>57</v>
      </c>
      <c r="J14" s="1">
        <v>1E-4</v>
      </c>
      <c r="L14" s="39" t="s">
        <v>62</v>
      </c>
      <c r="M14" s="38" t="s">
        <v>60</v>
      </c>
      <c r="N14" s="3"/>
    </row>
    <row r="15" spans="1:30" x14ac:dyDescent="0.25">
      <c r="B15" s="33" t="s">
        <v>54</v>
      </c>
      <c r="F15" s="1">
        <f>6*0.3048</f>
        <v>1.8288000000000002</v>
      </c>
      <c r="G15" t="str">
        <f>$Y$3</f>
        <v>m</v>
      </c>
      <c r="I15" s="33" t="s">
        <v>55</v>
      </c>
      <c r="J15" s="1">
        <v>2.8000000000000001E-2</v>
      </c>
    </row>
    <row r="16" spans="1:30" x14ac:dyDescent="0.25">
      <c r="B16" s="33" t="s">
        <v>53</v>
      </c>
      <c r="F16" s="1">
        <v>0.17</v>
      </c>
      <c r="G16" t="str">
        <f>$Y$3</f>
        <v>m</v>
      </c>
      <c r="I16" s="33" t="s">
        <v>56</v>
      </c>
      <c r="J16" s="1">
        <f>3460*0.3048</f>
        <v>1054.6079999999999</v>
      </c>
      <c r="K16" t="str">
        <f>$Y$3</f>
        <v>m</v>
      </c>
    </row>
    <row r="18" spans="2:27" ht="33" customHeight="1" x14ac:dyDescent="0.25">
      <c r="B18" s="5" t="s">
        <v>23</v>
      </c>
      <c r="C18" s="47" t="s">
        <v>7</v>
      </c>
      <c r="D18" s="48"/>
      <c r="E18" s="48"/>
      <c r="F18" s="48"/>
      <c r="G18" s="48"/>
      <c r="H18" s="49"/>
      <c r="I18" s="50" t="s">
        <v>51</v>
      </c>
      <c r="J18" s="51"/>
      <c r="K18" s="51"/>
      <c r="L18" s="51"/>
      <c r="M18" s="51"/>
      <c r="N18" s="51"/>
      <c r="O18" s="46" t="s">
        <v>42</v>
      </c>
      <c r="P18" s="46"/>
      <c r="Q18" s="52" t="s">
        <v>24</v>
      </c>
      <c r="R18" s="52"/>
      <c r="S18" s="52"/>
      <c r="T18" s="52"/>
      <c r="U18" s="52"/>
    </row>
    <row r="19" spans="2:27" ht="47.25" customHeight="1" x14ac:dyDescent="0.25">
      <c r="B19" s="6" t="s">
        <v>5</v>
      </c>
      <c r="C19" s="6" t="s">
        <v>0</v>
      </c>
      <c r="D19" s="6" t="s">
        <v>3</v>
      </c>
      <c r="E19" s="7" t="s">
        <v>13</v>
      </c>
      <c r="F19" s="8"/>
      <c r="G19" s="8"/>
      <c r="H19" s="8"/>
      <c r="I19" s="7" t="s">
        <v>12</v>
      </c>
      <c r="J19" s="7" t="s">
        <v>16</v>
      </c>
      <c r="K19" s="7" t="s">
        <v>11</v>
      </c>
      <c r="L19" s="7" t="s">
        <v>9</v>
      </c>
      <c r="M19" s="7" t="s">
        <v>17</v>
      </c>
      <c r="N19" s="7" t="s">
        <v>18</v>
      </c>
      <c r="O19" s="7" t="s">
        <v>63</v>
      </c>
      <c r="P19" s="6" t="s">
        <v>20</v>
      </c>
      <c r="Q19" s="7" t="s">
        <v>59</v>
      </c>
      <c r="R19" s="7" t="s">
        <v>45</v>
      </c>
      <c r="S19" s="7" t="s">
        <v>21</v>
      </c>
      <c r="T19" s="7" t="s">
        <v>14</v>
      </c>
      <c r="U19" s="7" t="s">
        <v>15</v>
      </c>
    </row>
    <row r="20" spans="2:27" s="2" customFormat="1" ht="36.6" customHeight="1" x14ac:dyDescent="0.25">
      <c r="B20" s="43" t="s">
        <v>2</v>
      </c>
      <c r="C20" s="43" t="s">
        <v>1</v>
      </c>
      <c r="D20" s="43" t="s">
        <v>4</v>
      </c>
      <c r="E20" s="41" t="s">
        <v>6</v>
      </c>
      <c r="F20" s="40" t="s">
        <v>71</v>
      </c>
      <c r="G20" s="42" t="s">
        <v>72</v>
      </c>
      <c r="H20" s="40" t="s">
        <v>73</v>
      </c>
      <c r="I20" s="40" t="s">
        <v>70</v>
      </c>
      <c r="J20" s="41" t="s">
        <v>67</v>
      </c>
      <c r="K20" s="41" t="s">
        <v>68</v>
      </c>
      <c r="L20" s="41" t="s">
        <v>69</v>
      </c>
      <c r="M20" s="9" t="s">
        <v>19</v>
      </c>
      <c r="N20" s="41" t="s">
        <v>66</v>
      </c>
      <c r="O20" s="41" t="s">
        <v>65</v>
      </c>
      <c r="P20" s="40" t="s">
        <v>74</v>
      </c>
      <c r="Q20" s="41" t="s">
        <v>75</v>
      </c>
      <c r="R20" s="44" t="s">
        <v>10</v>
      </c>
      <c r="S20" s="45" t="s">
        <v>76</v>
      </c>
      <c r="T20" s="45" t="s">
        <v>77</v>
      </c>
      <c r="U20" s="40" t="s">
        <v>78</v>
      </c>
      <c r="V20"/>
      <c r="W20"/>
    </row>
    <row r="21" spans="2:27" s="4" customFormat="1" ht="15.75" thickBot="1" x14ac:dyDescent="0.3">
      <c r="B21" s="10" t="str">
        <f>$X$3</f>
        <v>m³/s</v>
      </c>
      <c r="C21" s="10" t="str">
        <f t="shared" ref="C21:D21" si="0">$Y$3</f>
        <v>m</v>
      </c>
      <c r="D21" s="10" t="str">
        <f t="shared" si="0"/>
        <v>m</v>
      </c>
      <c r="E21" s="11" t="s">
        <v>8</v>
      </c>
      <c r="F21" s="11" t="s">
        <v>8</v>
      </c>
      <c r="G21" s="11" t="s">
        <v>8</v>
      </c>
      <c r="H21" s="11" t="s">
        <v>8</v>
      </c>
      <c r="I21" s="11" t="s">
        <v>8</v>
      </c>
      <c r="J21" s="10" t="str">
        <f t="shared" ref="J21" si="1">$Y$3</f>
        <v>m</v>
      </c>
      <c r="K21" s="11" t="str">
        <f>$Z$3</f>
        <v>m/s</v>
      </c>
      <c r="L21" s="11" t="s">
        <v>8</v>
      </c>
      <c r="M21" s="11" t="s">
        <v>8</v>
      </c>
      <c r="N21" s="10" t="str">
        <f>$Y$3</f>
        <v>m</v>
      </c>
      <c r="O21" s="10" t="str">
        <f>$Y$3</f>
        <v>m</v>
      </c>
      <c r="P21" s="10"/>
      <c r="Q21" s="10" t="str">
        <f t="shared" ref="Q21" si="2">$Y$3</f>
        <v>m</v>
      </c>
      <c r="R21" s="10"/>
      <c r="S21" s="10"/>
      <c r="T21" s="11" t="str">
        <f>$Z$3</f>
        <v>m/s</v>
      </c>
      <c r="U21" s="10" t="str">
        <f t="shared" ref="U21" si="3">$Y$3</f>
        <v>m</v>
      </c>
      <c r="V21"/>
      <c r="W21"/>
    </row>
    <row r="22" spans="2:27" x14ac:dyDescent="0.25">
      <c r="B22" s="37">
        <v>6</v>
      </c>
      <c r="C22" s="12">
        <f t="shared" ref="C22:C39" ca="1" si="4">IFERROR((B22/$F$14/G22)^(2/3),(B22/$F$14/$R$2^-1)^(2/3))</f>
        <v>2.1485672909519592E-2</v>
      </c>
      <c r="D22" s="12">
        <f t="shared" ref="D22:D39" ca="1" si="5">$F$15+C22</f>
        <v>1.8502856729095198</v>
      </c>
      <c r="E22" s="12">
        <f ca="1">C22/D22</f>
        <v>1.1612084136031818E-2</v>
      </c>
      <c r="F22" s="12">
        <f t="shared" ref="F22:F39" ca="1" si="6">0.611+0.075*C22/$F$15</f>
        <v>0.61188113816065937</v>
      </c>
      <c r="G22" s="12">
        <f t="shared" ref="G22:G39" ca="1" si="7">F22*SQRT(2*gravity)*2/3</f>
        <v>1.8064949384765094</v>
      </c>
      <c r="H22" s="12">
        <f t="shared" ref="H22:H39" ca="1" si="8">0.1*$F$15/C22*($M$14="Sharp Crest")</f>
        <v>0</v>
      </c>
      <c r="I22" s="12">
        <f ca="1">1/(((1/E22)-IFERROR(I22,0.5))*(9/4)/F22^2/(1+H22))^0.5</f>
        <v>4.3968514202908877E-2</v>
      </c>
      <c r="J22" s="12">
        <f ca="1">I22*C22</f>
        <v>9.4469311448126673E-4</v>
      </c>
      <c r="K22" s="12">
        <f ca="1">B22/$F$14/J22</f>
        <v>6.0223978028473253</v>
      </c>
      <c r="L22" s="12">
        <f t="shared" ref="L22:L39" ca="1" si="9">K22/SQRT(gravity*J22)</f>
        <v>62.571723790348614</v>
      </c>
      <c r="M22" s="12">
        <f t="shared" ref="M22:M39" ca="1" si="10">0.5*(SQRT(1+8*L22^2)-1)*I22</f>
        <v>3.8688420185621366</v>
      </c>
      <c r="N22" s="12">
        <f t="shared" ref="N22:N39" ca="1" si="11">M22*C22</f>
        <v>8.3124674149431588E-2</v>
      </c>
      <c r="O22" s="16">
        <f t="shared" ref="O22:O39" si="12">((B22/$J$16)*$J$15/Manning_k/$J$14^0.5)^0.6+$F$16</f>
        <v>0.25343166913266157</v>
      </c>
      <c r="P22" s="12">
        <f t="shared" ref="P22:P39" ca="1" si="13">(O22-M22*C22)/(M22*C22)</f>
        <v>2.0488139860503085</v>
      </c>
      <c r="Q22" s="12">
        <f t="shared" ref="Q22:Q39" ca="1" si="14">(I22*C22/2)*(2-(P22+1)*(SQRT(1+8*L22^2)-1)+L22^2*( (1+H22)  -4/( (P22+1)^2  *  (SQRT(1+8*L22^2)-1)^2   )))</f>
        <v>1.596828307114067</v>
      </c>
      <c r="R22" s="12">
        <f ca="1">39.2*L22^-0.5</f>
        <v>4.9556087061379026</v>
      </c>
      <c r="S22" s="12">
        <f t="shared" ref="S22:S39" ca="1" si="15">(16*Q22/(I22*C22)/R22/(P22+1)/(SQRT(1+8*L22^2)-1)/L22^2)^(1/3)</f>
        <v>0.13747108483166967</v>
      </c>
      <c r="T22" s="12">
        <f t="shared" ref="T22:T39" ca="1" si="16">IF(AND(U22&gt;=O22,S22*(K22/SQRT(2*gravity*C22))*SQRT(2*gravity*C22)&gt;0),S22*(K22/SQRT(2*gravity*C22))*SQRT(2*gravity*C22),NA())</f>
        <v>0.82790555924528575</v>
      </c>
      <c r="U22" s="12">
        <f t="shared" ref="U22:U39" ca="1" si="17">D22/1.1</f>
        <v>1.6820778844631996</v>
      </c>
      <c r="Y22" s="4"/>
      <c r="Z22" s="4"/>
      <c r="AA22" s="4"/>
    </row>
    <row r="23" spans="2:27" x14ac:dyDescent="0.25">
      <c r="B23" s="37">
        <v>20</v>
      </c>
      <c r="C23" s="12">
        <f t="shared" ca="1" si="4"/>
        <v>4.7887581607929351E-2</v>
      </c>
      <c r="D23" s="12">
        <f t="shared" ca="1" si="5"/>
        <v>1.8766875816079296</v>
      </c>
      <c r="E23" s="12">
        <f ca="1">C23/D23</f>
        <v>2.5517077044278028E-2</v>
      </c>
      <c r="F23" s="12">
        <f t="shared" ca="1" si="6"/>
        <v>0.61296389360268733</v>
      </c>
      <c r="G23" s="12">
        <f t="shared" ca="1" si="7"/>
        <v>1.8096916250609514</v>
      </c>
      <c r="H23" s="12">
        <f t="shared" ca="1" si="8"/>
        <v>0</v>
      </c>
      <c r="I23" s="12">
        <f ca="1">1/(((1/E23)-IFERROR(I23,0.5))*(9/4)/F23^2/(1+H23))^0.5</f>
        <v>6.5331314601264082E-2</v>
      </c>
      <c r="J23" s="12">
        <f ca="1">I23*C23</f>
        <v>3.1285586595213399E-3</v>
      </c>
      <c r="K23" s="12">
        <f ca="1">B23/$F$14/J23</f>
        <v>6.0617026946283152</v>
      </c>
      <c r="L23" s="12">
        <f t="shared" ca="1" si="9"/>
        <v>34.608002728111799</v>
      </c>
      <c r="M23" s="12">
        <f t="shared" ca="1" si="10"/>
        <v>3.1650187031265307</v>
      </c>
      <c r="N23" s="12">
        <f t="shared" ca="1" si="11"/>
        <v>0.15156509143659447</v>
      </c>
      <c r="O23" s="16">
        <f t="shared" si="12"/>
        <v>0.34181385384805729</v>
      </c>
      <c r="P23" s="12">
        <f t="shared" ca="1" si="13"/>
        <v>1.2552281043623508</v>
      </c>
      <c r="Q23" s="12">
        <f t="shared" ca="1" si="14"/>
        <v>1.5347167722152935</v>
      </c>
      <c r="R23" s="12">
        <f ca="1">39.2*L23^-0.5</f>
        <v>6.6634293721983262</v>
      </c>
      <c r="S23" s="12">
        <f t="shared" ca="1" si="15"/>
        <v>0.16510462203277373</v>
      </c>
      <c r="T23" s="12">
        <f t="shared" ca="1" si="16"/>
        <v>1.0008151322716541</v>
      </c>
      <c r="U23" s="12">
        <f t="shared" ca="1" si="17"/>
        <v>1.7060796196435721</v>
      </c>
      <c r="Y23" s="4"/>
      <c r="Z23" s="4"/>
      <c r="AA23" s="4"/>
    </row>
    <row r="24" spans="2:27" x14ac:dyDescent="0.25">
      <c r="B24" s="37">
        <v>40</v>
      </c>
      <c r="C24" s="12">
        <f t="shared" ca="1" si="4"/>
        <v>7.5921892194091928E-2</v>
      </c>
      <c r="D24" s="12">
        <f t="shared" ref="D24" ca="1" si="18">$F$15+C24</f>
        <v>1.904721892194092</v>
      </c>
      <c r="E24" s="12">
        <f ca="1">C24/D24</f>
        <v>3.9859830721342623E-2</v>
      </c>
      <c r="F24" s="12">
        <f t="shared" ref="F24" ca="1" si="19">0.611+0.075*C24/$F$15</f>
        <v>0.61411359466019078</v>
      </c>
      <c r="G24" s="12">
        <f t="shared" ref="G24" ca="1" si="20">F24*SQRT(2*gravity)*2/3</f>
        <v>1.8130859593713444</v>
      </c>
      <c r="H24" s="12">
        <f t="shared" ca="1" si="8"/>
        <v>0</v>
      </c>
      <c r="I24" s="12">
        <f ca="1">1/(((1/E24)-IFERROR(I24,0.5))*(9/4)/F24^2/(1+H24))^0.5</f>
        <v>8.1871919898344539E-2</v>
      </c>
      <c r="J24" s="12">
        <f ca="1">I24*C24</f>
        <v>6.2158710762454435E-3</v>
      </c>
      <c r="K24" s="12">
        <f ca="1">B24/$F$14/J24</f>
        <v>6.1019259325366413</v>
      </c>
      <c r="L24" s="12">
        <f t="shared" ca="1" si="9"/>
        <v>24.715533429621804</v>
      </c>
      <c r="M24" s="12">
        <f t="shared" ca="1" si="10"/>
        <v>2.821029519715057</v>
      </c>
      <c r="N24" s="12">
        <f t="shared" ca="1" si="11"/>
        <v>0.21417789907215748</v>
      </c>
      <c r="O24" s="16">
        <f t="shared" si="12"/>
        <v>0.4304211046334967</v>
      </c>
      <c r="P24" s="12">
        <f t="shared" ca="1" si="13"/>
        <v>1.0096429486801808</v>
      </c>
      <c r="Q24" s="12">
        <f t="shared" ca="1" si="14"/>
        <v>1.4739048480338079</v>
      </c>
      <c r="R24" s="12">
        <f ca="1">39.2*L24^-0.5</f>
        <v>7.8849886574478232</v>
      </c>
      <c r="S24" s="12">
        <f t="shared" ca="1" si="15"/>
        <v>0.17850139278437838</v>
      </c>
      <c r="T24" s="12">
        <f t="shared" ca="1" si="16"/>
        <v>1.0892022776249073</v>
      </c>
      <c r="U24" s="12">
        <f t="shared" ca="1" si="17"/>
        <v>1.7315653565400835</v>
      </c>
      <c r="Y24" s="4"/>
      <c r="Z24" s="4"/>
      <c r="AA24" s="4"/>
    </row>
    <row r="25" spans="2:27" x14ac:dyDescent="0.25">
      <c r="B25" s="37">
        <v>80</v>
      </c>
      <c r="C25" s="12">
        <f t="shared" ca="1" si="4"/>
        <v>0.12028106915887024</v>
      </c>
      <c r="D25" s="12">
        <f t="shared" ca="1" si="5"/>
        <v>1.9490810691588705</v>
      </c>
      <c r="E25" s="12">
        <f ca="1">C25/D25</f>
        <v>6.1711680987583423E-2</v>
      </c>
      <c r="F25" s="12">
        <f t="shared" ca="1" si="6"/>
        <v>0.61593278662889062</v>
      </c>
      <c r="G25" s="12">
        <f t="shared" ca="1" si="7"/>
        <v>1.818456873554861</v>
      </c>
      <c r="H25" s="12">
        <f t="shared" ca="1" si="8"/>
        <v>0</v>
      </c>
      <c r="I25" s="12">
        <f ca="1">1/(((1/E25)-IFERROR(I25,0.5))*(9/4)/F25^2/(1+H25))^0.5</f>
        <v>0.10232962205180092</v>
      </c>
      <c r="J25" s="12">
        <f ca="1">I25*C25</f>
        <v>1.230831634701372E-2</v>
      </c>
      <c r="K25" s="12">
        <f t="shared" ref="K25:K39" ca="1" si="21">B25/$F$14/J25</f>
        <v>6.1631150588112575</v>
      </c>
      <c r="L25" s="12">
        <f t="shared" ca="1" si="9"/>
        <v>17.740056807940707</v>
      </c>
      <c r="M25" s="12">
        <f t="shared" ca="1" si="10"/>
        <v>2.5166139720045639</v>
      </c>
      <c r="N25" s="12">
        <f t="shared" ca="1" si="11"/>
        <v>0.30270101921286008</v>
      </c>
      <c r="O25" s="16">
        <f t="shared" si="12"/>
        <v>0.56472458256192881</v>
      </c>
      <c r="P25" s="12">
        <f t="shared" ca="1" si="13"/>
        <v>0.86561837165408795</v>
      </c>
      <c r="Q25" s="12">
        <f t="shared" ca="1" si="14"/>
        <v>1.383436455343944</v>
      </c>
      <c r="R25" s="12">
        <f ca="1">39.2*L25^-0.5</f>
        <v>9.3069753553662142</v>
      </c>
      <c r="S25" s="12">
        <f t="shared" ca="1" si="15"/>
        <v>0.1884363330967832</v>
      </c>
      <c r="T25" s="12">
        <f t="shared" ca="1" si="16"/>
        <v>1.161354802135959</v>
      </c>
      <c r="U25" s="12">
        <f t="shared" ca="1" si="17"/>
        <v>1.7718918810535185</v>
      </c>
      <c r="Y25" s="4"/>
      <c r="Z25" s="4"/>
      <c r="AA25" s="4"/>
    </row>
    <row r="26" spans="2:27" x14ac:dyDescent="0.25">
      <c r="B26" s="37">
        <f>5000*0.3048^3</f>
        <v>141.58423296000001</v>
      </c>
      <c r="C26" s="12">
        <f t="shared" ca="1" si="4"/>
        <v>0.17555650406251169</v>
      </c>
      <c r="D26" s="12">
        <f t="shared" ref="D26" ca="1" si="22">$F$15+C26</f>
        <v>2.0043565040625118</v>
      </c>
      <c r="E26" s="12">
        <f ca="1">C26/D26</f>
        <v>8.7587464458885725E-2</v>
      </c>
      <c r="F26" s="12">
        <f t="shared" ref="F26" ca="1" si="23">0.611+0.075*C26/$F$15</f>
        <v>0.61819965977946656</v>
      </c>
      <c r="G26" s="12">
        <f t="shared" ref="G26" ca="1" si="24">F26*SQRT(2*gravity)*2/3</f>
        <v>1.8251495048802748</v>
      </c>
      <c r="H26" s="12">
        <f t="shared" ca="1" si="8"/>
        <v>0</v>
      </c>
      <c r="I26" s="12">
        <f ca="1">1/(((1/E26)-IFERROR(I26,0.5))*(9/4)/F26^2/(1+H26))^0.5</f>
        <v>0.12263190609903844</v>
      </c>
      <c r="J26" s="12">
        <f ca="1">I26*C26</f>
        <v>2.1528828721269395E-2</v>
      </c>
      <c r="K26" s="12">
        <f t="shared" ca="1" si="21"/>
        <v>6.2359615432419453</v>
      </c>
      <c r="L26" s="12">
        <f t="shared" ca="1" si="9"/>
        <v>13.572107237857734</v>
      </c>
      <c r="M26" s="12">
        <f t="shared" ca="1" si="10"/>
        <v>2.2932619591449339</v>
      </c>
      <c r="N26" s="12">
        <f t="shared" ca="1" si="11"/>
        <v>0.40259705244703109</v>
      </c>
      <c r="O26" s="16">
        <f t="shared" si="12"/>
        <v>0.72596713183912298</v>
      </c>
      <c r="P26" s="12">
        <f t="shared" ca="1" si="13"/>
        <v>0.80321025061314144</v>
      </c>
      <c r="Q26" s="12">
        <f t="shared" ca="1" si="14"/>
        <v>1.2766455915489567</v>
      </c>
      <c r="R26" s="12">
        <f ca="1">39.2*L26^-0.5</f>
        <v>10.640509548345767</v>
      </c>
      <c r="S26" s="12">
        <f t="shared" ca="1" si="15"/>
        <v>0.19289847572607119</v>
      </c>
      <c r="T26" s="12">
        <f t="shared" ca="1" si="16"/>
        <v>1.2029074763777698</v>
      </c>
      <c r="U26" s="12">
        <f t="shared" ca="1" si="17"/>
        <v>1.8221422764204651</v>
      </c>
      <c r="Y26" s="4"/>
      <c r="Z26" s="4"/>
      <c r="AA26" s="4"/>
    </row>
    <row r="27" spans="2:27" x14ac:dyDescent="0.25">
      <c r="B27" s="37">
        <v>250</v>
      </c>
      <c r="C27" s="12">
        <f t="shared" ca="1" si="4"/>
        <v>0.25556478655901943</v>
      </c>
      <c r="D27" s="12">
        <f t="shared" ca="1" si="5"/>
        <v>2.0843647865590196</v>
      </c>
      <c r="E27" s="12">
        <f t="shared" ref="E27:E39" ca="1" si="25">C27/D27</f>
        <v>0.12261039344313593</v>
      </c>
      <c r="F27" s="12">
        <f t="shared" ca="1" si="6"/>
        <v>0.62148083934379184</v>
      </c>
      <c r="G27" s="12">
        <f t="shared" ca="1" si="7"/>
        <v>1.8348367364445688</v>
      </c>
      <c r="H27" s="12">
        <f t="shared" ca="1" si="8"/>
        <v>0</v>
      </c>
      <c r="I27" s="12">
        <f t="shared" ref="I27:I39" ca="1" si="26">1/(((1/E27)-IFERROR(I27,0.5))*(9/4)/F27^2/(1+H27))^0.5</f>
        <v>0.1463973758618817</v>
      </c>
      <c r="J27" s="12">
        <f t="shared" ref="J27:J39" ca="1" si="27">I27*C27</f>
        <v>3.7414014114942343E-2</v>
      </c>
      <c r="K27" s="12">
        <f t="shared" ca="1" si="21"/>
        <v>6.3359923097470086</v>
      </c>
      <c r="L27" s="12">
        <f t="shared" ca="1" si="9"/>
        <v>10.460478330174059</v>
      </c>
      <c r="M27" s="12">
        <f t="shared" ca="1" si="10"/>
        <v>2.0937456466637108</v>
      </c>
      <c r="N27" s="12">
        <f t="shared" ca="1" si="11"/>
        <v>0.53508765929848734</v>
      </c>
      <c r="O27" s="16">
        <f t="shared" si="12"/>
        <v>0.95199537974931958</v>
      </c>
      <c r="P27" s="12">
        <f t="shared" ca="1" si="13"/>
        <v>0.77913910591286706</v>
      </c>
      <c r="Q27" s="12">
        <f t="shared" ca="1" si="14"/>
        <v>1.1292078111366743</v>
      </c>
      <c r="R27" s="12">
        <f t="shared" ref="R27:R39" ca="1" si="28">39.2*L27^-0.5</f>
        <v>12.120214194150909</v>
      </c>
      <c r="S27" s="12">
        <f t="shared" ca="1" si="15"/>
        <v>0.19269563585540547</v>
      </c>
      <c r="T27" s="12">
        <f t="shared" ca="1" si="16"/>
        <v>1.220918066901659</v>
      </c>
      <c r="U27" s="12">
        <f t="shared" ca="1" si="17"/>
        <v>1.8948770786900175</v>
      </c>
      <c r="Y27" s="4"/>
      <c r="Z27" s="4"/>
      <c r="AA27" s="4"/>
    </row>
    <row r="28" spans="2:27" x14ac:dyDescent="0.25">
      <c r="B28" s="37">
        <f t="shared" ref="B28:B37" si="29">B27+5000*0.3048^3</f>
        <v>391.58423296000001</v>
      </c>
      <c r="C28" s="12">
        <f t="shared" ca="1" si="4"/>
        <v>0.34336173951801752</v>
      </c>
      <c r="D28" s="12">
        <f t="shared" ca="1" si="5"/>
        <v>2.1721617395180175</v>
      </c>
      <c r="E28" s="12">
        <f t="shared" ca="1" si="25"/>
        <v>0.15807374435856064</v>
      </c>
      <c r="F28" s="12">
        <f t="shared" ca="1" si="6"/>
        <v>0.62508143616789769</v>
      </c>
      <c r="G28" s="12">
        <f t="shared" ca="1" si="7"/>
        <v>1.8454670035546068</v>
      </c>
      <c r="H28" s="12">
        <f t="shared" ca="1" si="8"/>
        <v>0</v>
      </c>
      <c r="I28" s="12">
        <f t="shared" ca="1" si="26"/>
        <v>0.16792571012523722</v>
      </c>
      <c r="J28" s="12">
        <f t="shared" ca="1" si="27"/>
        <v>5.7659263938399818E-2</v>
      </c>
      <c r="K28" s="12">
        <f t="shared" ca="1" si="21"/>
        <v>6.4396911844487903</v>
      </c>
      <c r="L28" s="12">
        <f t="shared" ca="1" si="9"/>
        <v>8.5641556101566536</v>
      </c>
      <c r="M28" s="12">
        <f t="shared" ca="1" si="10"/>
        <v>1.9516093204620837</v>
      </c>
      <c r="N28" s="12">
        <f t="shared" ca="1" si="11"/>
        <v>0.67010797113343712</v>
      </c>
      <c r="O28" s="16">
        <f t="shared" si="12"/>
        <v>1.1936118383177308</v>
      </c>
      <c r="P28" s="12">
        <f t="shared" ca="1" si="13"/>
        <v>0.78122316064801667</v>
      </c>
      <c r="Q28" s="12">
        <f t="shared" ca="1" si="14"/>
        <v>0.97361566254876497</v>
      </c>
      <c r="R28" s="12">
        <f t="shared" ca="1" si="28"/>
        <v>13.39503313104303</v>
      </c>
      <c r="S28" s="12">
        <f t="shared" ca="1" si="15"/>
        <v>0.18797518020729853</v>
      </c>
      <c r="T28" s="12">
        <f t="shared" ca="1" si="16"/>
        <v>1.2105021108761129</v>
      </c>
      <c r="U28" s="12">
        <f t="shared" ca="1" si="17"/>
        <v>1.9746924904709249</v>
      </c>
      <c r="Y28" s="4"/>
      <c r="Z28" s="4"/>
      <c r="AA28" s="4"/>
    </row>
    <row r="29" spans="2:27" x14ac:dyDescent="0.25">
      <c r="B29" s="37">
        <f t="shared" si="29"/>
        <v>533.16846592000002</v>
      </c>
      <c r="C29" s="12">
        <f t="shared" ca="1" si="4"/>
        <v>0.42038954504708215</v>
      </c>
      <c r="D29" s="12">
        <f t="shared" ca="1" si="5"/>
        <v>2.2491895450470825</v>
      </c>
      <c r="E29" s="12">
        <f t="shared" ca="1" si="25"/>
        <v>0.18690712215554164</v>
      </c>
      <c r="F29" s="12">
        <f t="shared" ca="1" si="6"/>
        <v>0.62824038488546108</v>
      </c>
      <c r="G29" s="12">
        <f t="shared" ca="1" si="7"/>
        <v>1.8547933653482378</v>
      </c>
      <c r="H29" s="12">
        <f t="shared" ca="1" si="8"/>
        <v>0</v>
      </c>
      <c r="I29" s="12">
        <f t="shared" ca="1" si="26"/>
        <v>0.18427153672945593</v>
      </c>
      <c r="J29" s="12">
        <f t="shared" ca="1" si="27"/>
        <v>7.7465827490822661E-2</v>
      </c>
      <c r="K29" s="12">
        <f t="shared" ca="1" si="21"/>
        <v>6.526242835561157</v>
      </c>
      <c r="L29" s="12">
        <f t="shared" ca="1" si="9"/>
        <v>7.4879373623717029</v>
      </c>
      <c r="M29" s="12">
        <f t="shared" ca="1" si="10"/>
        <v>1.8613894629908545</v>
      </c>
      <c r="N29" s="12">
        <f t="shared" ca="1" si="11"/>
        <v>0.78250866950215792</v>
      </c>
      <c r="O29" s="16">
        <f t="shared" si="12"/>
        <v>1.4018529137593296</v>
      </c>
      <c r="P29" s="12">
        <f t="shared" ca="1" si="13"/>
        <v>0.79148547280786874</v>
      </c>
      <c r="Q29" s="12">
        <f t="shared" ca="1" si="14"/>
        <v>0.84070500559010519</v>
      </c>
      <c r="R29" s="12">
        <f t="shared" ca="1" si="28"/>
        <v>14.325340898364633</v>
      </c>
      <c r="S29" s="12">
        <f t="shared" ca="1" si="15"/>
        <v>0.18144037442821626</v>
      </c>
      <c r="T29" s="12">
        <f t="shared" ca="1" si="16"/>
        <v>1.1841239436936801</v>
      </c>
      <c r="U29" s="12">
        <f t="shared" ca="1" si="17"/>
        <v>2.0447177682246203</v>
      </c>
      <c r="Y29" s="4"/>
      <c r="Z29" s="4"/>
      <c r="AA29" s="4"/>
    </row>
    <row r="30" spans="2:27" x14ac:dyDescent="0.25">
      <c r="B30" s="37">
        <f t="shared" si="29"/>
        <v>674.75269888000003</v>
      </c>
      <c r="C30" s="12">
        <f t="shared" ca="1" si="4"/>
        <v>0.49036466762634423</v>
      </c>
      <c r="D30" s="12">
        <f t="shared" ca="1" si="5"/>
        <v>2.3191646676263442</v>
      </c>
      <c r="E30" s="12">
        <f t="shared" ca="1" si="25"/>
        <v>0.21144021141380639</v>
      </c>
      <c r="F30" s="12">
        <f t="shared" ca="1" si="6"/>
        <v>0.63111009955816699</v>
      </c>
      <c r="G30" s="12">
        <f t="shared" ca="1" si="7"/>
        <v>1.8632658033885716</v>
      </c>
      <c r="H30" s="12">
        <f t="shared" ca="1" si="8"/>
        <v>0</v>
      </c>
      <c r="I30" s="12">
        <f t="shared" ca="1" si="26"/>
        <v>0.19764104762676102</v>
      </c>
      <c r="J30" s="12">
        <f t="shared" ca="1" si="27"/>
        <v>9.6916186628819137E-2</v>
      </c>
      <c r="K30" s="12">
        <f t="shared" ca="1" si="21"/>
        <v>6.6017222911391427</v>
      </c>
      <c r="L30" s="12">
        <f t="shared" ca="1" si="9"/>
        <v>6.7719407248681804</v>
      </c>
      <c r="M30" s="12">
        <f t="shared" ca="1" si="10"/>
        <v>1.79655982644729</v>
      </c>
      <c r="N30" s="12">
        <f t="shared" ca="1" si="11"/>
        <v>0.88096946216666805</v>
      </c>
      <c r="O30" s="16">
        <f t="shared" si="12"/>
        <v>1.5888188839130657</v>
      </c>
      <c r="P30" s="12">
        <f t="shared" ca="1" si="13"/>
        <v>0.80348916976702389</v>
      </c>
      <c r="Q30" s="12">
        <f t="shared" ca="1" si="14"/>
        <v>0.72207709833987466</v>
      </c>
      <c r="R30" s="12">
        <f t="shared" ca="1" si="28"/>
        <v>15.063624908233038</v>
      </c>
      <c r="S30" s="12">
        <f t="shared" ca="1" si="15"/>
        <v>0.17394600492908924</v>
      </c>
      <c r="T30" s="12">
        <f t="shared" ca="1" si="16"/>
        <v>1.1483432181949675</v>
      </c>
      <c r="U30" s="12">
        <f t="shared" ca="1" si="17"/>
        <v>2.1083315160239491</v>
      </c>
      <c r="Y30" s="4"/>
      <c r="Z30" s="4"/>
      <c r="AA30" s="4"/>
    </row>
    <row r="31" spans="2:27" x14ac:dyDescent="0.25">
      <c r="B31" s="37">
        <f t="shared" si="29"/>
        <v>816.33693184000003</v>
      </c>
      <c r="C31" s="12">
        <f t="shared" ca="1" si="4"/>
        <v>0.55520291462875171</v>
      </c>
      <c r="D31" s="12">
        <f t="shared" ca="1" si="5"/>
        <v>2.384002914628752</v>
      </c>
      <c r="E31" s="12">
        <f t="shared" ca="1" si="25"/>
        <v>0.23288684389683748</v>
      </c>
      <c r="F31" s="12">
        <f t="shared" ca="1" si="6"/>
        <v>0.63376914840176968</v>
      </c>
      <c r="G31" s="12">
        <f t="shared" ca="1" si="7"/>
        <v>1.8711162795309964</v>
      </c>
      <c r="H31" s="12">
        <f t="shared" ca="1" si="8"/>
        <v>0</v>
      </c>
      <c r="I31" s="12">
        <f t="shared" ca="1" si="26"/>
        <v>0.20904998385676449</v>
      </c>
      <c r="J31" s="12">
        <f t="shared" ca="1" si="27"/>
        <v>0.11606516034036914</v>
      </c>
      <c r="K31" s="12">
        <f t="shared" ca="1" si="21"/>
        <v>6.6692424785056161</v>
      </c>
      <c r="L31" s="12">
        <f t="shared" ca="1" si="9"/>
        <v>6.2514336389826974</v>
      </c>
      <c r="M31" s="12">
        <f t="shared" ca="1" si="10"/>
        <v>1.7466104913962344</v>
      </c>
      <c r="N31" s="12">
        <f t="shared" ca="1" si="11"/>
        <v>0.96972323554434559</v>
      </c>
      <c r="O31" s="16">
        <f t="shared" si="12"/>
        <v>1.7606031889708718</v>
      </c>
      <c r="P31" s="12">
        <f t="shared" ca="1" si="13"/>
        <v>0.81557286083030966</v>
      </c>
      <c r="Q31" s="12">
        <f t="shared" ca="1" si="14"/>
        <v>0.61354347104678231</v>
      </c>
      <c r="R31" s="12">
        <f t="shared" ca="1" si="28"/>
        <v>15.678201952584299</v>
      </c>
      <c r="S31" s="12">
        <f t="shared" ca="1" si="15"/>
        <v>0.16570646230338312</v>
      </c>
      <c r="T31" s="12">
        <f t="shared" ca="1" si="16"/>
        <v>1.1051365773566124</v>
      </c>
      <c r="U31" s="12">
        <f t="shared" ca="1" si="17"/>
        <v>2.1672753769352289</v>
      </c>
      <c r="Y31" s="4"/>
      <c r="Z31" s="4"/>
      <c r="AA31" s="4"/>
    </row>
    <row r="32" spans="2:27" x14ac:dyDescent="0.25">
      <c r="B32" s="37">
        <f t="shared" si="29"/>
        <v>957.92116480000004</v>
      </c>
      <c r="C32" s="12">
        <f t="shared" ca="1" si="4"/>
        <v>0.61605679591511175</v>
      </c>
      <c r="D32" s="12">
        <f t="shared" ca="1" si="5"/>
        <v>2.4448567959151122</v>
      </c>
      <c r="E32" s="12">
        <f t="shared" ca="1" si="25"/>
        <v>0.25198072825550549</v>
      </c>
      <c r="F32" s="12">
        <f t="shared" ca="1" si="6"/>
        <v>0.63626479642040323</v>
      </c>
      <c r="G32" s="12">
        <f t="shared" ca="1" si="7"/>
        <v>1.8784843372021853</v>
      </c>
      <c r="H32" s="12">
        <f t="shared" ca="1" si="8"/>
        <v>0</v>
      </c>
      <c r="I32" s="12">
        <f t="shared" ca="1" si="26"/>
        <v>0.21905845192393281</v>
      </c>
      <c r="J32" s="12">
        <f t="shared" ca="1" si="27"/>
        <v>0.13495244801038259</v>
      </c>
      <c r="K32" s="12">
        <f t="shared" ca="1" si="21"/>
        <v>6.7306644598514591</v>
      </c>
      <c r="L32" s="12">
        <f t="shared" ca="1" si="9"/>
        <v>5.8508856794357316</v>
      </c>
      <c r="M32" s="12">
        <f t="shared" ca="1" si="10"/>
        <v>1.706354704244345</v>
      </c>
      <c r="N32" s="12">
        <f t="shared" ca="1" si="11"/>
        <v>1.0512114117914493</v>
      </c>
      <c r="O32" s="16">
        <f t="shared" si="12"/>
        <v>1.920806068513297</v>
      </c>
      <c r="P32" s="12">
        <f t="shared" ca="1" si="13"/>
        <v>0.82723098985379673</v>
      </c>
      <c r="Q32" s="12">
        <f t="shared" ca="1" si="14"/>
        <v>0.51264853166732594</v>
      </c>
      <c r="R32" s="12">
        <f t="shared" ca="1" si="28"/>
        <v>16.205978588139775</v>
      </c>
      <c r="S32" s="12">
        <f t="shared" ca="1" si="15"/>
        <v>0.1567121130865686</v>
      </c>
      <c r="T32" s="12">
        <f t="shared" ca="1" si="16"/>
        <v>1.05477664997999</v>
      </c>
      <c r="U32" s="12">
        <f t="shared" ca="1" si="17"/>
        <v>2.2225970871955565</v>
      </c>
      <c r="Y32" s="4"/>
      <c r="Z32" s="4"/>
      <c r="AA32" s="4"/>
    </row>
    <row r="33" spans="2:27" x14ac:dyDescent="0.25">
      <c r="B33" s="37">
        <f t="shared" si="29"/>
        <v>1099.5053977600001</v>
      </c>
      <c r="C33" s="12">
        <f t="shared" ca="1" si="4"/>
        <v>0.67368825820189537</v>
      </c>
      <c r="D33" s="12">
        <f t="shared" ca="1" si="5"/>
        <v>2.5024882582018955</v>
      </c>
      <c r="E33" s="12">
        <f t="shared" ca="1" si="25"/>
        <v>0.26920736031183551</v>
      </c>
      <c r="F33" s="12">
        <f t="shared" ca="1" si="6"/>
        <v>0.63862829142888344</v>
      </c>
      <c r="G33" s="12">
        <f t="shared" ca="1" si="7"/>
        <v>1.8854622312794056</v>
      </c>
      <c r="H33" s="12">
        <f t="shared" ca="1" si="8"/>
        <v>0</v>
      </c>
      <c r="I33" s="12">
        <f t="shared" ca="1" si="26"/>
        <v>0.22801109586070001</v>
      </c>
      <c r="J33" s="12">
        <f t="shared" ca="1" si="27"/>
        <v>0.15360839802110038</v>
      </c>
      <c r="K33" s="12">
        <f t="shared" ca="1" si="21"/>
        <v>6.7872109012366613</v>
      </c>
      <c r="L33" s="12">
        <f t="shared" ca="1" si="9"/>
        <v>5.5301628440745825</v>
      </c>
      <c r="M33" s="12">
        <f t="shared" ca="1" si="10"/>
        <v>1.6728713414858487</v>
      </c>
      <c r="N33" s="12">
        <f t="shared" ca="1" si="11"/>
        <v>1.1269937802414696</v>
      </c>
      <c r="O33" s="16">
        <f t="shared" si="12"/>
        <v>2.071772667560086</v>
      </c>
      <c r="P33" s="12">
        <f t="shared" ca="1" si="13"/>
        <v>0.83831774751781529</v>
      </c>
      <c r="Q33" s="12">
        <f t="shared" ca="1" si="14"/>
        <v>0.41780320388882153</v>
      </c>
      <c r="R33" s="12">
        <f t="shared" ca="1" si="28"/>
        <v>16.66929018630281</v>
      </c>
      <c r="S33" s="12">
        <f t="shared" ca="1" si="15"/>
        <v>0.14681673743549895</v>
      </c>
      <c r="T33" s="12">
        <f t="shared" ca="1" si="16"/>
        <v>0.99647616080621904</v>
      </c>
      <c r="U33" s="12">
        <f t="shared" ca="1" si="17"/>
        <v>2.2749893256380864</v>
      </c>
      <c r="Y33" s="4"/>
      <c r="Z33" s="4"/>
      <c r="AA33" s="4"/>
    </row>
    <row r="34" spans="2:27" x14ac:dyDescent="0.25">
      <c r="B34" s="37">
        <f t="shared" si="29"/>
        <v>1241.0896307200001</v>
      </c>
      <c r="C34" s="12">
        <f t="shared" ca="1" si="4"/>
        <v>0.72863445642920022</v>
      </c>
      <c r="D34" s="12">
        <f t="shared" ca="1" si="5"/>
        <v>2.5574344564292004</v>
      </c>
      <c r="E34" s="12">
        <f t="shared" ca="1" si="25"/>
        <v>0.28490835985941587</v>
      </c>
      <c r="F34" s="12">
        <f t="shared" ca="1" si="6"/>
        <v>0.64088166241917655</v>
      </c>
      <c r="G34" s="12">
        <f t="shared" ca="1" si="7"/>
        <v>1.8921149993328725</v>
      </c>
      <c r="H34" s="12">
        <f t="shared" ca="1" si="8"/>
        <v>0</v>
      </c>
      <c r="I34" s="12">
        <f t="shared" ca="1" si="26"/>
        <v>0.23613637522177761</v>
      </c>
      <c r="J34" s="12">
        <f t="shared" ca="1" si="27"/>
        <v>0.17205709940288158</v>
      </c>
      <c r="K34" s="12">
        <f t="shared" ca="1" si="21"/>
        <v>6.8397383521593982</v>
      </c>
      <c r="L34" s="12">
        <f t="shared" ca="1" si="9"/>
        <v>5.2657137353796406</v>
      </c>
      <c r="M34" s="12">
        <f t="shared" ca="1" si="10"/>
        <v>1.6443617512631277</v>
      </c>
      <c r="N34" s="12">
        <f t="shared" ca="1" si="11"/>
        <v>1.1981386308045767</v>
      </c>
      <c r="O34" s="16">
        <f t="shared" si="12"/>
        <v>2.2151354190632677</v>
      </c>
      <c r="P34" s="12">
        <f t="shared" ca="1" si="13"/>
        <v>0.84881395367058243</v>
      </c>
      <c r="Q34" s="12">
        <f t="shared" ca="1" si="14"/>
        <v>0.32790768111499113</v>
      </c>
      <c r="R34" s="12">
        <f t="shared" ca="1" si="28"/>
        <v>17.082736590622243</v>
      </c>
      <c r="S34" s="12">
        <f t="shared" ca="1" si="15"/>
        <v>0.13572393842253624</v>
      </c>
      <c r="T34" s="12">
        <f t="shared" ca="1" si="16"/>
        <v>0.92831622693474158</v>
      </c>
      <c r="U34" s="12">
        <f t="shared" ca="1" si="17"/>
        <v>2.3249404149356367</v>
      </c>
      <c r="Y34" s="4"/>
      <c r="Z34" s="4"/>
      <c r="AA34" s="4"/>
    </row>
    <row r="35" spans="2:27" x14ac:dyDescent="0.25">
      <c r="B35" s="37">
        <v>1416</v>
      </c>
      <c r="C35" s="12">
        <f t="shared" ca="1" si="4"/>
        <v>0.79338845422475379</v>
      </c>
      <c r="D35" s="12">
        <f t="shared" ca="1" si="5"/>
        <v>2.6221884542247542</v>
      </c>
      <c r="E35" s="12">
        <f t="shared" ca="1" si="25"/>
        <v>0.30256728990873305</v>
      </c>
      <c r="F35" s="12">
        <f t="shared" ca="1" si="6"/>
        <v>0.64353725616079205</v>
      </c>
      <c r="G35" s="12">
        <f t="shared" ca="1" si="7"/>
        <v>1.8999552747616908</v>
      </c>
      <c r="H35" s="12">
        <f t="shared" ca="1" si="8"/>
        <v>0</v>
      </c>
      <c r="I35" s="12">
        <f t="shared" ca="1" si="26"/>
        <v>0.24526582792026064</v>
      </c>
      <c r="J35" s="12">
        <f t="shared" ca="1" si="27"/>
        <v>0.19459107608781004</v>
      </c>
      <c r="K35" s="12">
        <f t="shared" ca="1" si="21"/>
        <v>6.9000028826096687</v>
      </c>
      <c r="L35" s="12">
        <f t="shared" ca="1" si="9"/>
        <v>4.9950733254306909</v>
      </c>
      <c r="M35" s="12">
        <f t="shared" ca="1" si="10"/>
        <v>1.6142841118996218</v>
      </c>
      <c r="N35" s="12">
        <f t="shared" ca="1" si="11"/>
        <v>1.2807543762196205</v>
      </c>
      <c r="O35" s="16">
        <f t="shared" si="12"/>
        <v>2.383492903401021</v>
      </c>
      <c r="P35" s="12">
        <f t="shared" ca="1" si="13"/>
        <v>0.86100703433575909</v>
      </c>
      <c r="Q35" s="12">
        <f t="shared" ca="1" si="14"/>
        <v>0.22251494519886914</v>
      </c>
      <c r="R35" s="12">
        <f t="shared" ca="1" si="28"/>
        <v>17.539416172803868</v>
      </c>
      <c r="S35" s="12">
        <f t="shared" ca="1" si="15"/>
        <v>0.11950300154333771</v>
      </c>
      <c r="T35" s="12">
        <f t="shared" ca="1" si="16"/>
        <v>0.82457105512953788</v>
      </c>
      <c r="U35" s="12">
        <f t="shared" ca="1" si="17"/>
        <v>2.3838076856588675</v>
      </c>
      <c r="Y35" s="4"/>
      <c r="Z35" s="4"/>
      <c r="AA35" s="4"/>
    </row>
    <row r="36" spans="2:27" x14ac:dyDescent="0.25">
      <c r="B36" s="37">
        <f t="shared" si="29"/>
        <v>1557.58423296</v>
      </c>
      <c r="C36" s="12">
        <f t="shared" ca="1" si="4"/>
        <v>0.84363101171174293</v>
      </c>
      <c r="D36" s="16">
        <f t="shared" ref="D36" ca="1" si="30">$F$15+C36</f>
        <v>2.6724310117117431</v>
      </c>
      <c r="E36" s="16">
        <f t="shared" ref="E36" ca="1" si="31">C36/D36</f>
        <v>0.31567924785133411</v>
      </c>
      <c r="F36" s="16">
        <f t="shared" ref="F36" ca="1" si="32">0.611+0.075*C36/$F$15</f>
        <v>0.64559772849867714</v>
      </c>
      <c r="G36" s="12">
        <f t="shared" ca="1" si="7"/>
        <v>1.906038536063795</v>
      </c>
      <c r="H36" s="12">
        <f t="shared" ca="1" si="8"/>
        <v>0</v>
      </c>
      <c r="I36" s="16">
        <f t="shared" ref="I36" ca="1" si="33">1/(((1/E36)-IFERROR(I36,0.5))*(9/4)/F36^2/(1+H36))^0.5</f>
        <v>0.25205664111044773</v>
      </c>
      <c r="J36" s="16">
        <f t="shared" ref="J36" ca="1" si="34">I36*C36</f>
        <v>0.21264279914867071</v>
      </c>
      <c r="K36" s="12">
        <f t="shared" ca="1" si="21"/>
        <v>6.9456005085800152</v>
      </c>
      <c r="L36" s="16">
        <f t="shared" ca="1" si="9"/>
        <v>4.8099273368908788</v>
      </c>
      <c r="M36" s="16">
        <f t="shared" ca="1" si="10"/>
        <v>1.5931532267518378</v>
      </c>
      <c r="N36" s="16">
        <f t="shared" ca="1" si="11"/>
        <v>1.3440334684964808</v>
      </c>
      <c r="O36" s="16">
        <f t="shared" si="12"/>
        <v>2.5137490406019571</v>
      </c>
      <c r="P36" s="16">
        <f t="shared" ca="1" si="13"/>
        <v>0.87030241398228936</v>
      </c>
      <c r="Q36" s="16">
        <f t="shared" ca="1" si="14"/>
        <v>0.14108024571114422</v>
      </c>
      <c r="R36" s="16">
        <f t="shared" ca="1" si="28"/>
        <v>17.87379650876381</v>
      </c>
      <c r="S36" s="16">
        <f t="shared" ca="1" si="15"/>
        <v>0.10278115144151105</v>
      </c>
      <c r="T36" s="16" t="e">
        <f t="shared" ca="1" si="16"/>
        <v>#N/A</v>
      </c>
      <c r="U36" s="16">
        <f t="shared" ca="1" si="17"/>
        <v>2.4294827379197663</v>
      </c>
      <c r="Y36" s="4"/>
      <c r="Z36" s="4"/>
      <c r="AA36" s="4"/>
    </row>
    <row r="37" spans="2:27" x14ac:dyDescent="0.25">
      <c r="B37" s="37">
        <f t="shared" si="29"/>
        <v>1699.16846592</v>
      </c>
      <c r="C37" s="12">
        <f t="shared" ca="1" si="4"/>
        <v>0.89217693329135328</v>
      </c>
      <c r="D37" s="16">
        <f t="shared" ref="D37:D38" ca="1" si="35">$F$15+C37</f>
        <v>2.7209769332913534</v>
      </c>
      <c r="E37" s="16">
        <f t="shared" ref="E37:E38" ca="1" si="36">C37/D37</f>
        <v>0.32788845887501017</v>
      </c>
      <c r="F37" s="16">
        <f t="shared" ref="F37:F38" ca="1" si="37">0.611+0.075*C37/$F$15</f>
        <v>0.64758862095190917</v>
      </c>
      <c r="G37" s="12">
        <f t="shared" ca="1" si="7"/>
        <v>1.9119163723223631</v>
      </c>
      <c r="H37" s="12">
        <f t="shared" ca="1" si="8"/>
        <v>0</v>
      </c>
      <c r="I37" s="16">
        <f t="shared" ref="I37:I38" ca="1" si="38">1/(((1/E37)-IFERROR(I37,0.5))*(9/4)/F37^2/(1+H37))^0.5</f>
        <v>0.25840189197605706</v>
      </c>
      <c r="J37" s="16">
        <f t="shared" ref="J37:J38" ca="1" si="39">I37*C37</f>
        <v>0.23054020753988214</v>
      </c>
      <c r="K37" s="12">
        <f t="shared" ca="1" si="21"/>
        <v>6.9887370150434087</v>
      </c>
      <c r="L37" s="16">
        <f t="shared" ca="1" si="9"/>
        <v>4.648142286758481</v>
      </c>
      <c r="M37" s="16">
        <f t="shared" ca="1" si="10"/>
        <v>1.5743017127691055</v>
      </c>
      <c r="N37" s="16">
        <f t="shared" ca="1" si="11"/>
        <v>1.4045556741736653</v>
      </c>
      <c r="O37" s="16">
        <f t="shared" si="12"/>
        <v>2.6393465628558022</v>
      </c>
      <c r="P37" s="16">
        <f t="shared" ca="1" si="13"/>
        <v>0.87913274737834413</v>
      </c>
      <c r="Q37" s="16">
        <f t="shared" ca="1" si="14"/>
        <v>6.262938904642204E-2</v>
      </c>
      <c r="R37" s="16">
        <f t="shared" ca="1" si="28"/>
        <v>18.182197045246234</v>
      </c>
      <c r="S37" s="16">
        <f t="shared" ca="1" si="15"/>
        <v>7.8473348547852928E-2</v>
      </c>
      <c r="T37" s="16" t="e">
        <f t="shared" ca="1" si="16"/>
        <v>#N/A</v>
      </c>
      <c r="U37" s="16">
        <f t="shared" ca="1" si="17"/>
        <v>2.47361539390123</v>
      </c>
      <c r="Y37" s="4"/>
      <c r="Z37" s="4"/>
      <c r="AA37" s="4"/>
    </row>
    <row r="38" spans="2:27" x14ac:dyDescent="0.25">
      <c r="B38" s="37">
        <v>1700</v>
      </c>
      <c r="C38" s="12">
        <f t="shared" ca="1" si="4"/>
        <v>0.89245741543149659</v>
      </c>
      <c r="D38" s="12">
        <f t="shared" ca="1" si="35"/>
        <v>2.7212574154314968</v>
      </c>
      <c r="E38" s="12">
        <f t="shared" ca="1" si="36"/>
        <v>0.32795773393969196</v>
      </c>
      <c r="F38" s="12">
        <f t="shared" ca="1" si="37"/>
        <v>0.64760012366434938</v>
      </c>
      <c r="G38" s="12">
        <f t="shared" ref="G38" ca="1" si="40">F38*SQRT(2*gravity)*2/3</f>
        <v>1.9119503324994402</v>
      </c>
      <c r="H38" s="12">
        <f t="shared" ca="1" si="8"/>
        <v>0</v>
      </c>
      <c r="I38" s="12">
        <f t="shared" ca="1" si="38"/>
        <v>0.25843797597236018</v>
      </c>
      <c r="J38" s="12">
        <f t="shared" ca="1" si="39"/>
        <v>0.23064488808563979</v>
      </c>
      <c r="K38" s="12">
        <f t="shared" ca="1" si="21"/>
        <v>6.9889836805008301</v>
      </c>
      <c r="L38" s="12">
        <f t="shared" ca="1" si="9"/>
        <v>4.6472513811542742</v>
      </c>
      <c r="M38" s="12">
        <f t="shared" ca="1" si="10"/>
        <v>1.574196876957471</v>
      </c>
      <c r="N38" s="12">
        <f t="shared" ca="1" si="11"/>
        <v>1.4049036761897982</v>
      </c>
      <c r="O38" s="12">
        <f t="shared" si="12"/>
        <v>2.640071556852809</v>
      </c>
      <c r="P38" s="12">
        <f t="shared" ca="1" si="13"/>
        <v>0.87918332167289703</v>
      </c>
      <c r="Q38" s="12">
        <f t="shared" ca="1" si="14"/>
        <v>6.217671990800587E-2</v>
      </c>
      <c r="R38" s="12">
        <f t="shared" ref="R38" ca="1" si="41">39.2*L38^-0.5</f>
        <v>18.18393977913853</v>
      </c>
      <c r="S38" s="12">
        <f t="shared" ca="1" si="15"/>
        <v>7.8284165631754693E-2</v>
      </c>
      <c r="T38" s="12" t="e">
        <f t="shared" ca="1" si="16"/>
        <v>#N/A</v>
      </c>
      <c r="U38" s="12">
        <f t="shared" ca="1" si="17"/>
        <v>2.4738703776649968</v>
      </c>
      <c r="Y38" s="4"/>
      <c r="Z38" s="4"/>
      <c r="AA38" s="4"/>
    </row>
    <row r="39" spans="2:27" x14ac:dyDescent="0.25">
      <c r="B39" s="37">
        <v>1750</v>
      </c>
      <c r="C39" s="12">
        <f t="shared" ca="1" si="4"/>
        <v>0.90922825563184861</v>
      </c>
      <c r="D39" s="12">
        <f t="shared" ca="1" si="5"/>
        <v>2.7380282556318489</v>
      </c>
      <c r="E39" s="12">
        <f t="shared" ca="1" si="25"/>
        <v>0.3320740952039693</v>
      </c>
      <c r="F39" s="12">
        <f t="shared" ca="1" si="6"/>
        <v>0.64828790418437698</v>
      </c>
      <c r="G39" s="12">
        <f t="shared" ca="1" si="7"/>
        <v>1.9139809099281671</v>
      </c>
      <c r="H39" s="12">
        <f t="shared" ca="1" si="8"/>
        <v>0</v>
      </c>
      <c r="I39" s="12">
        <f t="shared" ca="1" si="26"/>
        <v>0.2605840173444926</v>
      </c>
      <c r="J39" s="12">
        <f t="shared" ca="1" si="27"/>
        <v>0.23693035153567241</v>
      </c>
      <c r="K39" s="12">
        <f t="shared" ca="1" si="21"/>
        <v>7.0036798966781886</v>
      </c>
      <c r="L39" s="12">
        <f t="shared" ca="1" si="9"/>
        <v>4.5948357833041626</v>
      </c>
      <c r="M39" s="12">
        <f t="shared" ca="1" si="10"/>
        <v>1.5680088581729519</v>
      </c>
      <c r="N39" s="12">
        <f t="shared" ca="1" si="11"/>
        <v>1.4256779589318798</v>
      </c>
      <c r="O39" s="12">
        <f t="shared" si="12"/>
        <v>2.6834081045494056</v>
      </c>
      <c r="P39" s="12">
        <f t="shared" ca="1" si="13"/>
        <v>0.88219793098282817</v>
      </c>
      <c r="Q39" s="12">
        <f t="shared" ca="1" si="14"/>
        <v>3.5121766340020441E-2</v>
      </c>
      <c r="R39" s="12">
        <f t="shared" ca="1" si="28"/>
        <v>18.28736233092723</v>
      </c>
      <c r="S39" s="12">
        <f t="shared" ca="1" si="15"/>
        <v>6.4728595462949498E-2</v>
      </c>
      <c r="T39" s="12" t="e">
        <f t="shared" ca="1" si="16"/>
        <v>#N/A</v>
      </c>
      <c r="U39" s="12">
        <f t="shared" ca="1" si="17"/>
        <v>2.4891165960289534</v>
      </c>
      <c r="Y39" s="4"/>
      <c r="Z39" s="4"/>
      <c r="AA39" s="4"/>
    </row>
  </sheetData>
  <customSheetViews>
    <customSheetView guid="{F4B6E51E-2D65-4CF6-BD8E-E088EDE2BD3E}" scale="90" hiddenRows="1">
      <selection activeCell="C13" sqref="C13"/>
      <pageMargins left="0.7" right="0.7" top="0.75" bottom="0.75" header="0.3" footer="0.3"/>
      <pageSetup orientation="portrait" r:id="rId1"/>
    </customSheetView>
    <customSheetView guid="{FDA33643-0E3A-4707-8097-165E77532680}" scale="90" hiddenRows="1" hiddenColumns="1">
      <selection activeCell="C1" sqref="C1:O1048576"/>
      <pageMargins left="0.7" right="0.7" top="0.75" bottom="0.75" header="0.3" footer="0.3"/>
      <pageSetup orientation="portrait" r:id="rId2"/>
    </customSheetView>
    <customSheetView guid="{C438E414-3177-45D7-A55E-D1C2D38F7F61}" scale="90">
      <selection sqref="A1:XFD20"/>
      <pageMargins left="0.7" right="0.7" top="0.75" bottom="0.75" header="0.3" footer="0.3"/>
      <pageSetup orientation="portrait" r:id="rId3"/>
    </customSheetView>
  </customSheetViews>
  <mergeCells count="4">
    <mergeCell ref="O18:P18"/>
    <mergeCell ref="C18:H18"/>
    <mergeCell ref="I18:N18"/>
    <mergeCell ref="Q18:U18"/>
  </mergeCells>
  <conditionalFormatting sqref="P22:U22 O39:U39 U23:U24 P26:U34 O35:U37">
    <cfRule type="expression" dxfId="9" priority="20">
      <formula>AND($O22&gt;$N22,$O22&lt;$U22)</formula>
    </cfRule>
  </conditionalFormatting>
  <conditionalFormatting sqref="P25:U25">
    <cfRule type="expression" dxfId="8" priority="15">
      <formula>AND($O25&gt;$N25,$O25&lt;$U25)</formula>
    </cfRule>
  </conditionalFormatting>
  <conditionalFormatting sqref="P24:S24">
    <cfRule type="expression" dxfId="7" priority="14">
      <formula>AND($O24&gt;$N24,$O24&lt;$U24)</formula>
    </cfRule>
  </conditionalFormatting>
  <conditionalFormatting sqref="P23:S23">
    <cfRule type="expression" dxfId="6" priority="13">
      <formula>AND($O23&gt;$N23,$O23&lt;$U23)</formula>
    </cfRule>
  </conditionalFormatting>
  <conditionalFormatting sqref="O38:U38">
    <cfRule type="expression" dxfId="5" priority="12">
      <formula>AND($O38&gt;$N38,$O38&lt;$U38)</formula>
    </cfRule>
  </conditionalFormatting>
  <conditionalFormatting sqref="T23">
    <cfRule type="expression" dxfId="4" priority="11">
      <formula>AND($O23&gt;$N23,$O23&lt;$U23)</formula>
    </cfRule>
  </conditionalFormatting>
  <conditionalFormatting sqref="T24">
    <cfRule type="expression" dxfId="3" priority="10">
      <formula>AND($O24&gt;$N24,$O24&lt;$U24)</formula>
    </cfRule>
  </conditionalFormatting>
  <conditionalFormatting sqref="O34">
    <cfRule type="expression" dxfId="2" priority="8">
      <formula>AND($O34&gt;$N34,$O34&lt;$U34)</formula>
    </cfRule>
  </conditionalFormatting>
  <conditionalFormatting sqref="O22">
    <cfRule type="expression" dxfId="1" priority="2">
      <formula>AND($O22&gt;$N22,$O22&lt;$U22)</formula>
    </cfRule>
  </conditionalFormatting>
  <conditionalFormatting sqref="O23:O33">
    <cfRule type="expression" dxfId="0" priority="1">
      <formula>AND($O23&gt;$N23,$O23&lt;$U23)</formula>
    </cfRule>
  </conditionalFormatting>
  <dataValidations disablePrompts="1" count="2">
    <dataValidation type="list" allowBlank="1" showInputMessage="1" showErrorMessage="1" sqref="R1" xr:uid="{3866D65F-C97C-4128-889B-C34A8950C1AD}">
      <formula1>"English, Metric"</formula1>
    </dataValidation>
    <dataValidation type="list" allowBlank="1" showInputMessage="1" showErrorMessage="1" sqref="M14" xr:uid="{DCBD6CC7-A2DF-4E7B-9DF0-56D248386F02}">
      <formula1>"Sharp Crest, Ogee Crest"</formula1>
    </dataValidation>
  </dataValidations>
  <pageMargins left="0.7" right="0.7" top="0.75" bottom="0.75" header="0.3" footer="0.3"/>
  <pageSetup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FD75C-7954-4623-AF39-8891F6E31127}">
  <dimension ref="N2:X30"/>
  <sheetViews>
    <sheetView tabSelected="1" topLeftCell="L1" workbookViewId="0">
      <selection activeCell="W26" sqref="W26"/>
    </sheetView>
  </sheetViews>
  <sheetFormatPr defaultRowHeight="15" x14ac:dyDescent="0.25"/>
  <sheetData>
    <row r="2" spans="14:24" ht="21" x14ac:dyDescent="0.35">
      <c r="N2" s="32" t="s">
        <v>44</v>
      </c>
    </row>
    <row r="3" spans="14:24" ht="18" x14ac:dyDescent="0.35">
      <c r="N3" s="33" t="s">
        <v>40</v>
      </c>
    </row>
    <row r="4" spans="14:24" ht="18" x14ac:dyDescent="0.35">
      <c r="N4" s="33" t="s">
        <v>43</v>
      </c>
    </row>
    <row r="5" spans="14:24" ht="18" x14ac:dyDescent="0.35">
      <c r="N5" s="33" t="s">
        <v>41</v>
      </c>
    </row>
    <row r="6" spans="14:24" x14ac:dyDescent="0.25">
      <c r="N6" s="33"/>
    </row>
    <row r="9" spans="14:24" x14ac:dyDescent="0.25">
      <c r="N9" s="36" t="s">
        <v>52</v>
      </c>
    </row>
    <row r="14" spans="14:24" x14ac:dyDescent="0.25">
      <c r="X14" s="31"/>
    </row>
    <row r="22" spans="14:24" ht="18" x14ac:dyDescent="0.35">
      <c r="N22" s="36" t="s">
        <v>64</v>
      </c>
    </row>
    <row r="30" spans="14:24" x14ac:dyDescent="0.25">
      <c r="X30" s="31"/>
    </row>
  </sheetData>
  <customSheetViews>
    <customSheetView guid="{F4B6E51E-2D65-4CF6-BD8E-E088EDE2BD3E}">
      <selection activeCell="G31" sqref="G31"/>
      <pageMargins left="0.7" right="0.7" top="0.75" bottom="0.75" header="0.3" footer="0.3"/>
      <pageSetup orientation="portrait" r:id="rId1"/>
    </customSheetView>
    <customSheetView guid="{FDA33643-0E3A-4707-8097-165E77532680}">
      <selection activeCell="G31" sqref="G31"/>
      <pageMargins left="0.7" right="0.7" top="0.75" bottom="0.75" header="0.3" footer="0.3"/>
      <pageSetup orientation="portrait" r:id="rId2"/>
    </customSheetView>
    <customSheetView guid="{C438E414-3177-45D7-A55E-D1C2D38F7F61}">
      <selection activeCell="G31" sqref="G31"/>
      <pageMargins left="0.7" right="0.7" top="0.75" bottom="0.75" header="0.3" footer="0.3"/>
      <pageSetup orientation="portrait" r:id="rId3"/>
    </customSheetView>
  </customSheetViews>
  <pageMargins left="0.7" right="0.7" top="0.75" bottom="0.75" header="0.3" footer="0.3"/>
  <pageSetup orientation="portrait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C743F-915F-4A77-AE39-BF846C7DDF60}">
  <dimension ref="A1"/>
  <sheetViews>
    <sheetView workbookViewId="0">
      <selection activeCell="G37" sqref="G37"/>
    </sheetView>
  </sheetViews>
  <sheetFormatPr defaultRowHeight="15" x14ac:dyDescent="0.25"/>
  <sheetData/>
  <customSheetViews>
    <customSheetView guid="{F4B6E51E-2D65-4CF6-BD8E-E088EDE2BD3E}">
      <selection activeCell="G37" sqref="G37"/>
      <pageMargins left="0.7" right="0.7" top="0.75" bottom="0.75" header="0.3" footer="0.3"/>
    </customSheetView>
    <customSheetView guid="{FDA33643-0E3A-4707-8097-165E77532680}">
      <selection activeCell="G37" sqref="G37"/>
      <pageMargins left="0.7" right="0.7" top="0.75" bottom="0.75" header="0.3" footer="0.3"/>
    </customSheetView>
    <customSheetView guid="{C438E414-3177-45D7-A55E-D1C2D38F7F61}">
      <selection activeCell="G37" sqref="G37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Diagrams</vt:lpstr>
      <vt:lpstr>NOTES</vt:lpstr>
      <vt:lpstr>gravity</vt:lpstr>
      <vt:lpstr>Length_Factor</vt:lpstr>
      <vt:lpstr>Manning_k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Wahl, Tony L</dc:creator>
  <cp:lastModifiedBy>Wahl, Tony L</cp:lastModifiedBy>
  <dcterms:created xsi:type="dcterms:W3CDTF">2021-06-22T19:59:03Z</dcterms:created>
  <dcterms:modified xsi:type="dcterms:W3CDTF">2023-11-16T21:15:46Z</dcterms:modified>
</cp:coreProperties>
</file>